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5"/>
  </bookViews>
  <sheets>
    <sheet name="ДОШКОЛЬНИКИ" sheetId="1" r:id="rId1"/>
    <sheet name="СПЕЦ.КУРСЫ" sheetId="2" r:id="rId2"/>
    <sheet name="кальк.- дош." sheetId="3" r:id="rId3"/>
    <sheet name="кальк-спец.кур." sheetId="4" r:id="rId4"/>
    <sheet name="нормы расхода материал." sheetId="5" r:id="rId5"/>
    <sheet name="СВОД  к прил.9" sheetId="6" r:id="rId6"/>
  </sheets>
  <definedNames>
    <definedName name="_xlnm.Print_Area" localSheetId="0">ДОШКОЛЬНИКИ!$A$1:$L$343</definedName>
    <definedName name="_xlnm.Print_Area" localSheetId="2">'кальк.- дош.'!$A$1:$I$38</definedName>
    <definedName name="_xlnm.Print_Area" localSheetId="1">СПЕЦ.КУРСЫ!$A$1:$L$345</definedName>
  </definedNames>
  <calcPr calcId="145621"/>
</workbook>
</file>

<file path=xl/calcChain.xml><?xml version="1.0" encoding="utf-8"?>
<calcChain xmlns="http://schemas.openxmlformats.org/spreadsheetml/2006/main">
  <c r="F26" i="6" l="1"/>
  <c r="E25" i="6"/>
  <c r="D25" i="6"/>
  <c r="C25" i="6" s="1"/>
  <c r="G25" i="6" s="1"/>
  <c r="E24" i="6"/>
  <c r="G24" i="6" s="1"/>
  <c r="D24" i="6"/>
  <c r="E23" i="6"/>
  <c r="G23" i="6" s="1"/>
  <c r="D23" i="6"/>
  <c r="D26" i="6" s="1"/>
  <c r="E22" i="6"/>
  <c r="G22" i="6" s="1"/>
  <c r="C22" i="6"/>
  <c r="E21" i="6"/>
  <c r="C21" i="6"/>
  <c r="C26" i="6" s="1"/>
  <c r="G19" i="6"/>
  <c r="G18" i="6"/>
  <c r="F18" i="6"/>
  <c r="D18" i="6"/>
  <c r="G17" i="6"/>
  <c r="F17" i="6"/>
  <c r="D17" i="6"/>
  <c r="G16" i="6"/>
  <c r="F16" i="6"/>
  <c r="F19" i="6" s="1"/>
  <c r="D16" i="6"/>
  <c r="D19" i="6" s="1"/>
  <c r="B15" i="6"/>
  <c r="F14" i="6"/>
  <c r="D14" i="6"/>
  <c r="E13" i="6"/>
  <c r="C13" i="6"/>
  <c r="G13" i="6" s="1"/>
  <c r="E12" i="6"/>
  <c r="E14" i="6" s="1"/>
  <c r="C12" i="6"/>
  <c r="C14" i="6" s="1"/>
  <c r="G14" i="6" s="1"/>
  <c r="F11" i="6"/>
  <c r="F15" i="6" s="1"/>
  <c r="D11" i="6"/>
  <c r="D15" i="6" s="1"/>
  <c r="F10" i="6"/>
  <c r="E10" i="6"/>
  <c r="G10" i="6" s="1"/>
  <c r="C10" i="6"/>
  <c r="F9" i="6"/>
  <c r="E9" i="6"/>
  <c r="E11" i="6" s="1"/>
  <c r="E15" i="6" s="1"/>
  <c r="C9" i="6"/>
  <c r="C11" i="6" s="1"/>
  <c r="G11" i="6" l="1"/>
  <c r="C15" i="6"/>
  <c r="C27" i="6"/>
  <c r="C30" i="6" s="1"/>
  <c r="D27" i="6"/>
  <c r="D30" i="6" s="1"/>
  <c r="F27" i="6"/>
  <c r="F30" i="6" s="1"/>
  <c r="G9" i="6"/>
  <c r="G21" i="6"/>
  <c r="E26" i="6"/>
  <c r="E27" i="6" s="1"/>
  <c r="E30" i="6" s="1"/>
  <c r="G12" i="6"/>
  <c r="N41" i="5"/>
  <c r="M41" i="5"/>
  <c r="L41" i="5"/>
  <c r="K41" i="5"/>
  <c r="N40" i="5"/>
  <c r="M40" i="5"/>
  <c r="L40" i="5"/>
  <c r="K40" i="5"/>
  <c r="N38" i="5"/>
  <c r="M38" i="5"/>
  <c r="L38" i="5"/>
  <c r="K38" i="5"/>
  <c r="N37" i="5"/>
  <c r="M37" i="5"/>
  <c r="L37" i="5"/>
  <c r="K37" i="5"/>
  <c r="N36" i="5"/>
  <c r="M36" i="5"/>
  <c r="L36" i="5"/>
  <c r="K36" i="5"/>
  <c r="N25" i="5"/>
  <c r="M25" i="5"/>
  <c r="L25" i="5"/>
  <c r="K25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R19" i="5"/>
  <c r="N19" i="5"/>
  <c r="M19" i="5"/>
  <c r="L19" i="5"/>
  <c r="K19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0" i="5"/>
  <c r="M10" i="5"/>
  <c r="L10" i="5"/>
  <c r="K10" i="5"/>
  <c r="N9" i="5"/>
  <c r="M9" i="5"/>
  <c r="L9" i="5"/>
  <c r="K9" i="5"/>
  <c r="R8" i="5"/>
  <c r="Q8" i="5"/>
  <c r="P8" i="5"/>
  <c r="O8" i="5"/>
  <c r="N8" i="5"/>
  <c r="M8" i="5"/>
  <c r="L8" i="5"/>
  <c r="K8" i="5"/>
  <c r="S7" i="5"/>
  <c r="N7" i="5"/>
  <c r="M7" i="5"/>
  <c r="L7" i="5"/>
  <c r="K7" i="5"/>
  <c r="H21" i="6" l="1"/>
  <c r="G26" i="6"/>
  <c r="G27" i="6" s="1"/>
  <c r="G15" i="6"/>
  <c r="H15" i="6" s="1"/>
  <c r="I8" i="6" s="1"/>
  <c r="H11" i="6"/>
  <c r="F33" i="4"/>
  <c r="H33" i="4" s="1"/>
  <c r="F31" i="4"/>
  <c r="H31" i="4" s="1"/>
  <c r="H29" i="4"/>
  <c r="H27" i="4"/>
  <c r="H25" i="4"/>
  <c r="H23" i="4"/>
  <c r="F32" i="3"/>
  <c r="H32" i="3" s="1"/>
  <c r="F30" i="3"/>
  <c r="H30" i="3" s="1"/>
  <c r="H28" i="3"/>
  <c r="H26" i="3"/>
  <c r="H24" i="3"/>
  <c r="H22" i="3"/>
  <c r="H14" i="6" l="1"/>
  <c r="H22" i="6"/>
  <c r="H26" i="6" s="1"/>
  <c r="H24" i="6"/>
  <c r="H19" i="6"/>
  <c r="I16" i="6" s="1"/>
  <c r="H23" i="6"/>
  <c r="H25" i="6"/>
  <c r="H35" i="4"/>
  <c r="F35" i="4"/>
  <c r="H34" i="3"/>
  <c r="F34" i="3"/>
  <c r="H27" i="6" l="1"/>
  <c r="I21" i="6"/>
  <c r="I27" i="6" s="1"/>
  <c r="E330" i="2"/>
  <c r="E328" i="2"/>
  <c r="D252" i="2"/>
  <c r="G188" i="2"/>
  <c r="D254" i="2" s="1"/>
  <c r="I176" i="2"/>
  <c r="E324" i="2" s="1"/>
  <c r="I122" i="2"/>
  <c r="I124" i="2" s="1"/>
  <c r="E263" i="2" s="1"/>
  <c r="F101" i="2"/>
  <c r="G101" i="2" s="1"/>
  <c r="H101" i="2" s="1"/>
  <c r="I101" i="2" s="1"/>
  <c r="F100" i="2"/>
  <c r="H100" i="2" s="1"/>
  <c r="I100" i="2" s="1"/>
  <c r="F99" i="2"/>
  <c r="G99" i="2" s="1"/>
  <c r="H99" i="2" s="1"/>
  <c r="I99" i="2" s="1"/>
  <c r="F98" i="2"/>
  <c r="G98" i="2" s="1"/>
  <c r="H98" i="2" s="1"/>
  <c r="I98" i="2" s="1"/>
  <c r="H97" i="2"/>
  <c r="I97" i="2" s="1"/>
  <c r="H96" i="2"/>
  <c r="I96" i="2" s="1"/>
  <c r="G83" i="2"/>
  <c r="G82" i="2"/>
  <c r="G81" i="2"/>
  <c r="G80" i="2"/>
  <c r="G79" i="2"/>
  <c r="G78" i="2"/>
  <c r="G84" i="2" s="1"/>
  <c r="G70" i="2" s="1"/>
  <c r="G69" i="2"/>
  <c r="G68" i="2"/>
  <c r="G67" i="2"/>
  <c r="G66" i="2"/>
  <c r="G65" i="2"/>
  <c r="D58" i="2"/>
  <c r="G56" i="2"/>
  <c r="H56" i="2" s="1"/>
  <c r="I56" i="2" s="1"/>
  <c r="J56" i="2" s="1"/>
  <c r="G54" i="2"/>
  <c r="H54" i="2" s="1"/>
  <c r="I54" i="2" s="1"/>
  <c r="J54" i="2" s="1"/>
  <c r="G52" i="2"/>
  <c r="H52" i="2" s="1"/>
  <c r="I52" i="2" s="1"/>
  <c r="J52" i="2" s="1"/>
  <c r="G50" i="2"/>
  <c r="H50" i="2" s="1"/>
  <c r="I50" i="2" s="1"/>
  <c r="J50" i="2" s="1"/>
  <c r="G48" i="2"/>
  <c r="H48" i="2" s="1"/>
  <c r="I48" i="2" s="1"/>
  <c r="J48" i="2" s="1"/>
  <c r="G46" i="2"/>
  <c r="H46" i="2" s="1"/>
  <c r="I46" i="2" s="1"/>
  <c r="J46" i="2" s="1"/>
  <c r="G44" i="2"/>
  <c r="H44" i="2" s="1"/>
  <c r="I44" i="2" s="1"/>
  <c r="J44" i="2" s="1"/>
  <c r="G42" i="2"/>
  <c r="H42" i="2" s="1"/>
  <c r="I42" i="2" s="1"/>
  <c r="J42" i="2" s="1"/>
  <c r="G40" i="2"/>
  <c r="H40" i="2" s="1"/>
  <c r="I40" i="2" s="1"/>
  <c r="J40" i="2" s="1"/>
  <c r="G38" i="2"/>
  <c r="H38" i="2" s="1"/>
  <c r="I38" i="2" s="1"/>
  <c r="J38" i="2" s="1"/>
  <c r="G36" i="2"/>
  <c r="H36" i="2" s="1"/>
  <c r="I36" i="2" s="1"/>
  <c r="J36" i="2" s="1"/>
  <c r="D253" i="2" l="1"/>
  <c r="K38" i="2"/>
  <c r="L38" i="2" s="1"/>
  <c r="K42" i="2"/>
  <c r="L42" i="2" s="1"/>
  <c r="K46" i="2"/>
  <c r="L46" i="2" s="1"/>
  <c r="K50" i="2"/>
  <c r="L50" i="2" s="1"/>
  <c r="K54" i="2"/>
  <c r="L54" i="2" s="1"/>
  <c r="J96" i="2"/>
  <c r="I102" i="2"/>
  <c r="K96" i="2"/>
  <c r="J98" i="2"/>
  <c r="K98" i="2" s="1"/>
  <c r="J100" i="2"/>
  <c r="K100" i="2" s="1"/>
  <c r="J58" i="2"/>
  <c r="E321" i="2" s="1"/>
  <c r="K36" i="2"/>
  <c r="K40" i="2"/>
  <c r="L40" i="2" s="1"/>
  <c r="K44" i="2"/>
  <c r="L44" i="2" s="1"/>
  <c r="K48" i="2"/>
  <c r="L48" i="2" s="1"/>
  <c r="K52" i="2"/>
  <c r="L52" i="2" s="1"/>
  <c r="K56" i="2"/>
  <c r="L56" i="2" s="1"/>
  <c r="G72" i="2"/>
  <c r="J97" i="2"/>
  <c r="K97" i="2" s="1"/>
  <c r="J99" i="2"/>
  <c r="K99" i="2" s="1"/>
  <c r="K101" i="2"/>
  <c r="J101" i="2"/>
  <c r="D256" i="2"/>
  <c r="E262" i="2" s="1"/>
  <c r="E333" i="1"/>
  <c r="E331" i="1"/>
  <c r="G191" i="1"/>
  <c r="D264" i="1" s="1"/>
  <c r="I179" i="1"/>
  <c r="E327" i="1" s="1"/>
  <c r="I126" i="1"/>
  <c r="I128" i="1" s="1"/>
  <c r="E273" i="1" s="1"/>
  <c r="F113" i="1"/>
  <c r="G113" i="1" s="1"/>
  <c r="F97" i="1"/>
  <c r="G97" i="1" s="1"/>
  <c r="H97" i="1" s="1"/>
  <c r="I97" i="1" s="1"/>
  <c r="F96" i="1"/>
  <c r="G96" i="1" s="1"/>
  <c r="H96" i="1" s="1"/>
  <c r="I96" i="1" s="1"/>
  <c r="F95" i="1"/>
  <c r="G95" i="1" s="1"/>
  <c r="H95" i="1" s="1"/>
  <c r="I95" i="1" s="1"/>
  <c r="F94" i="1"/>
  <c r="G94" i="1" s="1"/>
  <c r="H94" i="1" s="1"/>
  <c r="I94" i="1" s="1"/>
  <c r="H93" i="1"/>
  <c r="I93" i="1" s="1"/>
  <c r="H92" i="1"/>
  <c r="I92" i="1" s="1"/>
  <c r="G82" i="1"/>
  <c r="G81" i="1"/>
  <c r="G80" i="1"/>
  <c r="G79" i="1"/>
  <c r="G78" i="1"/>
  <c r="G77" i="1"/>
  <c r="G83" i="1" s="1"/>
  <c r="G69" i="1" s="1"/>
  <c r="G68" i="1"/>
  <c r="G67" i="1"/>
  <c r="G66" i="1"/>
  <c r="G65" i="1"/>
  <c r="G64" i="1"/>
  <c r="D57" i="1"/>
  <c r="G55" i="1"/>
  <c r="H55" i="1" s="1"/>
  <c r="I55" i="1" s="1"/>
  <c r="J55" i="1" s="1"/>
  <c r="G53" i="1"/>
  <c r="H53" i="1" s="1"/>
  <c r="I53" i="1" s="1"/>
  <c r="J53" i="1" s="1"/>
  <c r="G51" i="1"/>
  <c r="H51" i="1" s="1"/>
  <c r="I51" i="1" s="1"/>
  <c r="J51" i="1" s="1"/>
  <c r="G49" i="1"/>
  <c r="H49" i="1" s="1"/>
  <c r="I49" i="1" s="1"/>
  <c r="J49" i="1" s="1"/>
  <c r="G47" i="1"/>
  <c r="H47" i="1" s="1"/>
  <c r="I47" i="1" s="1"/>
  <c r="J47" i="1" s="1"/>
  <c r="G45" i="1"/>
  <c r="H45" i="1" s="1"/>
  <c r="I45" i="1" s="1"/>
  <c r="J45" i="1" s="1"/>
  <c r="G43" i="1"/>
  <c r="H43" i="1" s="1"/>
  <c r="I43" i="1" s="1"/>
  <c r="J43" i="1" s="1"/>
  <c r="G41" i="1"/>
  <c r="H41" i="1" s="1"/>
  <c r="I41" i="1" s="1"/>
  <c r="J41" i="1" s="1"/>
  <c r="G39" i="1"/>
  <c r="H39" i="1" s="1"/>
  <c r="I39" i="1" s="1"/>
  <c r="J39" i="1" s="1"/>
  <c r="G37" i="1"/>
  <c r="H37" i="1" s="1"/>
  <c r="I37" i="1" s="1"/>
  <c r="J37" i="1" s="1"/>
  <c r="G35" i="1"/>
  <c r="H35" i="1" s="1"/>
  <c r="I35" i="1" s="1"/>
  <c r="J35" i="1" s="1"/>
  <c r="K58" i="2" l="1"/>
  <c r="E335" i="2"/>
  <c r="D273" i="2"/>
  <c r="L36" i="2"/>
  <c r="L58" i="2" s="1"/>
  <c r="K102" i="2"/>
  <c r="J102" i="2"/>
  <c r="K41" i="1"/>
  <c r="L41" i="1"/>
  <c r="K45" i="1"/>
  <c r="L45" i="1"/>
  <c r="K49" i="1"/>
  <c r="L49" i="1"/>
  <c r="K53" i="1"/>
  <c r="L53" i="1"/>
  <c r="I98" i="1"/>
  <c r="J92" i="1"/>
  <c r="J94" i="1"/>
  <c r="K94" i="1" s="1"/>
  <c r="J96" i="1"/>
  <c r="K96" i="1" s="1"/>
  <c r="K37" i="1"/>
  <c r="L37" i="1" s="1"/>
  <c r="K35" i="1"/>
  <c r="J57" i="1"/>
  <c r="L35" i="1"/>
  <c r="K39" i="1"/>
  <c r="L39" i="1" s="1"/>
  <c r="K43" i="1"/>
  <c r="L43" i="1" s="1"/>
  <c r="K47" i="1"/>
  <c r="L47" i="1"/>
  <c r="K51" i="1"/>
  <c r="L51" i="1"/>
  <c r="K55" i="1"/>
  <c r="L55" i="1"/>
  <c r="G71" i="1"/>
  <c r="J93" i="1"/>
  <c r="K93" i="1" s="1"/>
  <c r="J95" i="1"/>
  <c r="K95" i="1" s="1"/>
  <c r="J97" i="1"/>
  <c r="K97" i="1" s="1"/>
  <c r="H113" i="1"/>
  <c r="I113" i="1" s="1"/>
  <c r="D263" i="1"/>
  <c r="E261" i="2" l="1"/>
  <c r="J66" i="2"/>
  <c r="J65" i="2"/>
  <c r="E264" i="2"/>
  <c r="E266" i="2" s="1"/>
  <c r="D272" i="2" s="1"/>
  <c r="E322" i="2"/>
  <c r="E320" i="2" s="1"/>
  <c r="L57" i="1"/>
  <c r="K57" i="1"/>
  <c r="J98" i="1"/>
  <c r="I115" i="1"/>
  <c r="J113" i="1"/>
  <c r="J115" i="1" s="1"/>
  <c r="E338" i="1"/>
  <c r="D283" i="1"/>
  <c r="E324" i="1"/>
  <c r="K92" i="1"/>
  <c r="K98" i="1" s="1"/>
  <c r="E337" i="2" l="1"/>
  <c r="G320" i="2" s="1"/>
  <c r="J69" i="2"/>
  <c r="K66" i="2" s="1"/>
  <c r="E265" i="2"/>
  <c r="E267" i="2" s="1"/>
  <c r="D274" i="2" s="1"/>
  <c r="D275" i="2" s="1"/>
  <c r="D277" i="2" s="1"/>
  <c r="E271" i="1"/>
  <c r="K65" i="1"/>
  <c r="K113" i="1"/>
  <c r="K115" i="1" s="1"/>
  <c r="E325" i="1"/>
  <c r="E323" i="1" s="1"/>
  <c r="E274" i="1"/>
  <c r="E276" i="1" s="1"/>
  <c r="D282" i="1" s="1"/>
  <c r="K64" i="1"/>
  <c r="E339" i="2" l="1"/>
  <c r="D278" i="2"/>
  <c r="K65" i="2"/>
  <c r="G332" i="2"/>
  <c r="G328" i="2"/>
  <c r="G330" i="2"/>
  <c r="G324" i="2"/>
  <c r="G335" i="2"/>
  <c r="E340" i="1"/>
  <c r="G323" i="1" s="1"/>
  <c r="D262" i="1"/>
  <c r="D266" i="1" s="1"/>
  <c r="E272" i="1" s="1"/>
  <c r="E275" i="1" s="1"/>
  <c r="E277" i="1" s="1"/>
  <c r="D284" i="1" s="1"/>
  <c r="D285" i="1" s="1"/>
  <c r="D287" i="1" s="1"/>
  <c r="K66" i="1"/>
  <c r="K68" i="1" s="1"/>
  <c r="L64" i="1" s="1"/>
  <c r="G337" i="2" l="1"/>
  <c r="E342" i="1"/>
  <c r="D288" i="1"/>
  <c r="L65" i="1"/>
  <c r="G335" i="1"/>
  <c r="G331" i="1"/>
  <c r="G327" i="1"/>
  <c r="G340" i="1" s="1"/>
  <c r="G333" i="1"/>
  <c r="G338" i="1"/>
</calcChain>
</file>

<file path=xl/sharedStrings.xml><?xml version="1.0" encoding="utf-8"?>
<sst xmlns="http://schemas.openxmlformats.org/spreadsheetml/2006/main" count="946" uniqueCount="497">
  <si>
    <t xml:space="preserve">Примерный расчет по платным образовательным услугам </t>
  </si>
  <si>
    <t>по Постановлению № 1288 от 28.06.2011г.</t>
  </si>
  <si>
    <t>Таблица № 1</t>
  </si>
  <si>
    <t>№ п/п</t>
  </si>
  <si>
    <t>Наименование услуги (работы)</t>
  </si>
  <si>
    <t>Цена (руб.) с 1 чел.в месяц</t>
  </si>
  <si>
    <t>Занятия в группах по программам  интеллектуального развития для дошкольников</t>
  </si>
  <si>
    <t xml:space="preserve">Все расчеты предоставлены на 1 группу из расчёта 20 учащихся </t>
  </si>
  <si>
    <t>По данной услуге обучение производится  3 часа в неделю. Срок обучения 24 недели.  Весь период обучения 72 часа.</t>
  </si>
  <si>
    <t>1 час равен одному академическому часу</t>
  </si>
  <si>
    <t xml:space="preserve">Весь период обучения составляет  5,58 месяцев.(24 недели / 4,3 нед.). </t>
  </si>
  <si>
    <t>В месяц затрачивается 12,9 часа (3 часа*4,3 нед.)</t>
  </si>
  <si>
    <t>Плановый расчёт количества недель в месяце. В году  365 дней / 12 месяцев / 7 дней  = 4,3 недель</t>
  </si>
  <si>
    <t>Общая площадь школы</t>
  </si>
  <si>
    <t>3503,8 м2</t>
  </si>
  <si>
    <t>Занимаемая площадь для оказания платной образовательной услуги 1 класс 45 м2</t>
  </si>
  <si>
    <t>Доля от общей площади   45м2 / 3503,8 м2 = 0,013</t>
  </si>
  <si>
    <t>Режим работы учреждения  8 часов в день</t>
  </si>
  <si>
    <t>Расчёт количества часов в месяц 204,8 час.(8 час*25,6 дней)</t>
  </si>
  <si>
    <t xml:space="preserve">Учебный год состоит из 34 недель + 5 дней или 243 календарных дня или 209 учебных дней, 209*8 часов рабочий режим учреждения = 1672 часов в год </t>
  </si>
  <si>
    <t>Расчет затрат на оплату труда основного персонала, непосредственно участвующего в процессе оказания платной услуги на одну группу:                            3 часа в неделю, 24 недели весь период обучения, 72 часа часа весь период обучения.</t>
  </si>
  <si>
    <t>Плановый расчёт  рабочих часов учителя в месяц 12,9 часа (3 час. В нед.*4,3нед.)</t>
  </si>
  <si>
    <t>Таблица № 2</t>
  </si>
  <si>
    <t>Базовый оклад -  7520 руб.</t>
  </si>
  <si>
    <t>Повышающий коэффициент за первую категорию составляет 1,20.</t>
  </si>
  <si>
    <t>Страховые взносы по договорам гражданско-правового характера начисляются в размере 30,2%.</t>
  </si>
  <si>
    <t>Персональный повышающий коэффициент  = 3.</t>
  </si>
  <si>
    <t>Должность</t>
  </si>
  <si>
    <t>Педагогическая нагрузка в месяц (час.)</t>
  </si>
  <si>
    <t>Надбавка за категорию</t>
  </si>
  <si>
    <t>Оклад, руб.</t>
  </si>
  <si>
    <t>Стоимость услуги (руб.)</t>
  </si>
  <si>
    <t>Персональный повышающий коэффициент (руб.)</t>
  </si>
  <si>
    <t>Уральский коэффициент 15% (руб)</t>
  </si>
  <si>
    <t>Месячный ФЗП (руб)</t>
  </si>
  <si>
    <t>Страховые взносы 30,2% (руб)</t>
  </si>
  <si>
    <t>Итого ФЗП за весь период обучения с учетом страховых взносов ( руб)</t>
  </si>
  <si>
    <t>Преподаватель</t>
  </si>
  <si>
    <t>Итого</t>
  </si>
  <si>
    <t>Расчет затрат на материальные запасы</t>
  </si>
  <si>
    <t>Таблица № 3</t>
  </si>
  <si>
    <t>Наименование материальных запасов</t>
  </si>
  <si>
    <t>Единица измерения</t>
  </si>
  <si>
    <t>Расход           ( в единицах измерения)</t>
  </si>
  <si>
    <t>Цена за единицу</t>
  </si>
  <si>
    <t>Всего затрат материальных запасов ( гр.4*гр.5)</t>
  </si>
  <si>
    <t>КОНТРОЛЬ ФОТ</t>
  </si>
  <si>
    <t>Канц. Товары в том числе:</t>
  </si>
  <si>
    <t>ФОТ</t>
  </si>
  <si>
    <t>%</t>
  </si>
  <si>
    <t>бумага</t>
  </si>
  <si>
    <t>шт.(пачки)</t>
  </si>
  <si>
    <t>ПЕДАГОГИ</t>
  </si>
  <si>
    <t>катриджи</t>
  </si>
  <si>
    <t>шт</t>
  </si>
  <si>
    <t>АУП</t>
  </si>
  <si>
    <t xml:space="preserve"> рабочие тетради</t>
  </si>
  <si>
    <t>УСП</t>
  </si>
  <si>
    <t>учебно-наглядные пособия</t>
  </si>
  <si>
    <t>шт.</t>
  </si>
  <si>
    <t>методические материалы</t>
  </si>
  <si>
    <t>ИТОГО:</t>
  </si>
  <si>
    <t>Моющие средства, хоз.материалы</t>
  </si>
  <si>
    <t>кг.,шт.,пач.,упак.,л.</t>
  </si>
  <si>
    <t>всего на весь период обучения</t>
  </si>
  <si>
    <t>Расчёт расходов на  моющие средства  и хоз. Материалы  для бюджетных учреждений</t>
  </si>
  <si>
    <t xml:space="preserve">            Наименование</t>
  </si>
  <si>
    <t>норма расхода на 1 класс</t>
  </si>
  <si>
    <t>Всего затрат материальных запасов на весь период обучения ( гр.4*гр.5)</t>
  </si>
  <si>
    <t>стиральный порошок</t>
  </si>
  <si>
    <t>пач.</t>
  </si>
  <si>
    <t>мыло туалетное</t>
  </si>
  <si>
    <t>кус.</t>
  </si>
  <si>
    <t>Моющее средство</t>
  </si>
  <si>
    <t>Хлорная известь ДЕО ХЛОР</t>
  </si>
  <si>
    <t>кг.</t>
  </si>
  <si>
    <t>Эл. лампы</t>
  </si>
  <si>
    <t>Эл. лампы днев. света</t>
  </si>
  <si>
    <t>итого</t>
  </si>
  <si>
    <t xml:space="preserve">Затраты  на административно-управленческий персонал </t>
  </si>
  <si>
    <t>Расчет затрат на оплату труда административно-управленческий персонал</t>
  </si>
  <si>
    <t>Таблица № 4</t>
  </si>
  <si>
    <t>Количество штат.единиц</t>
  </si>
  <si>
    <t>Базовый оклад (руб.)</t>
  </si>
  <si>
    <t>Зарплата (руб.)</t>
  </si>
  <si>
    <t xml:space="preserve">Директор: </t>
  </si>
  <si>
    <t>Руководитель курсов</t>
  </si>
  <si>
    <t>Специалист по кадрам</t>
  </si>
  <si>
    <t>Делопроизводитель</t>
  </si>
  <si>
    <t>Диспетчер по расписанию</t>
  </si>
  <si>
    <t>Методист</t>
  </si>
  <si>
    <t xml:space="preserve">Расчёт доходов на 1 группу  в месяц 1320*20= 26400руб.  </t>
  </si>
  <si>
    <t>5% от общих доходов с одного курса составляет оплата директора 25800*5%= 1320 руб.</t>
  </si>
  <si>
    <t>15 % от оплаты педагогов составляет оплата руководителю курсов   1037,76 руб = 6918,4*15%</t>
  </si>
  <si>
    <t xml:space="preserve">Норма  рабочего времени  в год при 40 часовой рабочей неделе  составляет  1971 часов. </t>
  </si>
  <si>
    <t>Норма часов в месяц 1971 /12 мес= 164,25 час</t>
  </si>
  <si>
    <t>Затраты времени  в часах диспетчера по расписанию   0,02 шт.ед. 164,25*0,02= 3,29 час. В месяц</t>
  </si>
  <si>
    <t>Затраты времени  в часах делопроизводитель и методист  0,05 шт.ед. 164,25*0,05= 8,21 час. В месяц</t>
  </si>
  <si>
    <t>Затраты времени  в часах специалист по кадрам  0,06 шт.ед. 164,25*0,06= 9,9 час.</t>
  </si>
  <si>
    <t>Расчет затрат на оплату труда обслуживающего персонала</t>
  </si>
  <si>
    <t>Таблица № 5</t>
  </si>
  <si>
    <t>Уборщик служебных помещений</t>
  </si>
  <si>
    <t>Итого:</t>
  </si>
  <si>
    <t>Затраты времени  в часах на УСП  0,015 шт.ед. 164,25*0,015= 2,5 час.</t>
  </si>
  <si>
    <t>Затраты общехозяйственного назначения (таб.№ 5,6,7,8)</t>
  </si>
  <si>
    <t>Расчет суммы начисленной амортизации оборудования</t>
  </si>
  <si>
    <t>Таблица № 6</t>
  </si>
  <si>
    <t>Наименование оборудования</t>
  </si>
  <si>
    <t>Балансовая стоимость,руб.</t>
  </si>
  <si>
    <t>Годовая норма износа,%</t>
  </si>
  <si>
    <t>Годовая норма времени работы оборудования,в часах</t>
  </si>
  <si>
    <t>Время работы оборудования в процессе оказания платной услуги,в часах</t>
  </si>
  <si>
    <t xml:space="preserve">Доля площади помещения от общей площади </t>
  </si>
  <si>
    <t>Сумма начисленной амортизации,руб.                                  ( гр.3*гр.4/гр.5*гр.6)*гр.7</t>
  </si>
  <si>
    <t>Здание</t>
  </si>
  <si>
    <t>45/3503,8</t>
  </si>
  <si>
    <t>Годовая норма времени работы оборудования</t>
  </si>
  <si>
    <t>34 нед.*6 рабочих дней  в неделе = 204дн. +5дн. = 209 учебных дня</t>
  </si>
  <si>
    <t>209 уч.дн.* 8 час =1672 учебных часа</t>
  </si>
  <si>
    <t xml:space="preserve">Время работы оборудования в процессе оказания платной услуги- весь период 24 недели *  часа в неделю = 72 часа </t>
  </si>
  <si>
    <t xml:space="preserve">Расчеты по коммунальным услугам </t>
  </si>
  <si>
    <t>Таблица №7</t>
  </si>
  <si>
    <t>Общая площадь учреждения  3503,8 м2</t>
  </si>
  <si>
    <t>Площадь оказания услуги 45 м2</t>
  </si>
  <si>
    <t>Плановый расчёт рабочего времени учреждения 8 час.*25,6= 204,8 часов в месяц</t>
  </si>
  <si>
    <t>Доля площади помещения в общей площади здания составляет: 45 кв.м./ 3503,8 кв.м.= 0,013</t>
  </si>
  <si>
    <t>Постановление РЭК Свердловская область № 206 ПГ от15.12.2014 год "Об установлени тарифов в сфере водоснабжения и водоотведения"</t>
  </si>
  <si>
    <t xml:space="preserve">1.Расчёт за услугу по поставке  электроэнергии: </t>
  </si>
  <si>
    <t>Стоимость 1кВт/час по услуге освещения с учетом НДС в 2015 году составляет 6,39 руб.(5,42*1,18)</t>
  </si>
  <si>
    <t>Средний объем потребления учреждением электрической энергии в месяц- 13 198,71 кВт/ч/месяц,</t>
  </si>
  <si>
    <t>Расходы за электроэнергию по площади,занимаемой платными услугами  в месяц  составили:</t>
  </si>
  <si>
    <t>13 198,71кВт * 0,013 * 6,39 = 1096,42 руб. в месяц</t>
  </si>
  <si>
    <t>Расходы за электроэнергию по площади,занимаемой платными услугами  за весь период обучения  составили:</t>
  </si>
  <si>
    <t>1096,42 руб./204,8  раб.час. В мес.* 72 час.оказания услуги = 385,46 руб.</t>
  </si>
  <si>
    <t>2. Расчёт за услуги  отопления</t>
  </si>
  <si>
    <t>Стоимость 1 Гкал по услуге отопления с учетом НДС в 2015 году составляет 1595,63 руб.(тариф 1295,63 руб.*НДС 1,18)</t>
  </si>
  <si>
    <t>Отопление осуществляется  8 месяцев или 242 дня или 5808 часов</t>
  </si>
  <si>
    <t>Количество потребляемой учреждением тепловой энергии в месяц - 64,53 Гкал</t>
  </si>
  <si>
    <t>Расходы на отопление за год 696 232,16 руб.*</t>
  </si>
  <si>
    <t>Площадь помещения,занимаемая платными услугами - 45 кв.м</t>
  </si>
  <si>
    <t>Расходы за отопление по площади,занимаемой платными услугами составили:</t>
  </si>
  <si>
    <t>64,53 Г кал * 0,013 * 1595,63 руб = 1338,56 руб.</t>
  </si>
  <si>
    <t>Стоимость  услуги отопления  за весь период оказания услуги составляет:</t>
  </si>
  <si>
    <t>1338,56 руб. / 204,8  = 6,54 руб. в месяц* 72 час. = 470,59 руб.</t>
  </si>
  <si>
    <t xml:space="preserve">3.Расчёт горячего водоснабжения </t>
  </si>
  <si>
    <t>Стоимость  услуги горячего водоснабжения с учетом НДС в 2015 году составляет 12,56 руб.(тариф 10,64 руб.*НДС 1,18)</t>
  </si>
  <si>
    <t>Расход потребления горячей воды в год  2872,54 м3 из них 50 % на расходы столовой</t>
  </si>
  <si>
    <t>2872,54/2 = 1436,27 м3 / 650 потребителей = 2,209 м3 в год на одного потребителя / 1672 уч.часа*72 час= 0,0317 м3 * 12,56 руб = 1,19 руб.</t>
  </si>
  <si>
    <t>4. Расчёт холодного водоснабжение и водоотведение:</t>
  </si>
  <si>
    <t>Стоимость 1 куб.м. по услуге холодного водоснабжения  с учетом НДС в  2015 году составляет 17,83 руб.(тариф 15,11*ндс 1,18)</t>
  </si>
  <si>
    <t>20 чел.*7л (норма расхода хол.воды в сутки) = 140 литр.в сутки/ 1000 = 0,14 м3   расход воды в сутки на обучающихся по платной услуге</t>
  </si>
  <si>
    <t xml:space="preserve">  Расходы на услугу холодного  водоснабжения  0,14 м3 на  одно занятие * 24 занятия = 3,36 м3 * 17,83 руб. тариф = 59,91 руб.</t>
  </si>
  <si>
    <t>Стоимость 1 куб.м.по услуге водоотведения с учетом НДС в 2015 году составляет 9,65 руб.(тариф 8,18 руб.*НДС 1,18)</t>
  </si>
  <si>
    <t>3,36 м3*9,65 руб. = 32,42 руб за весь период обучения</t>
  </si>
  <si>
    <t>итого коммунальные услуги</t>
  </si>
  <si>
    <t>Расчет затрат на материальные ресурсы и услуги.</t>
  </si>
  <si>
    <t>Таблица № 8</t>
  </si>
  <si>
    <t>Наименование товара и услуг</t>
  </si>
  <si>
    <t>Кол-во</t>
  </si>
  <si>
    <t>Цена</t>
  </si>
  <si>
    <t>Сумма</t>
  </si>
  <si>
    <t>заправка катриджей</t>
  </si>
  <si>
    <t>санитарная обработка помещения(дератизация, дезинсекция)</t>
  </si>
  <si>
    <t>усл.ед.</t>
  </si>
  <si>
    <t>обслуживание пожарной сигнализации</t>
  </si>
  <si>
    <t>услуги охраны</t>
  </si>
  <si>
    <t>Ремонт помещения</t>
  </si>
  <si>
    <t>Строительные материалы</t>
  </si>
  <si>
    <t>шт, упак, литр, пач.</t>
  </si>
  <si>
    <t>2. Ремонт помещения</t>
  </si>
  <si>
    <t>общая площадь здания 3503,8 м2</t>
  </si>
  <si>
    <t>общая площадь класса 45 м2</t>
  </si>
  <si>
    <t>ремонт по рассчитывается от балансовой стоимости 15 735 242,00 рублей  здания в процентном отношении согласно расчётов</t>
  </si>
  <si>
    <t>45/3503,8 = 0,013</t>
  </si>
  <si>
    <t>15 735 242* 0,013 = 204  руб.</t>
  </si>
  <si>
    <t>201 411,09/ 1680 час. * 24 час = 2 877,30 руб.</t>
  </si>
  <si>
    <t>201411,09/12*6= 100705,55</t>
  </si>
  <si>
    <t>Пользование общими помещениями (реакриация 2 этаж, туалет, лестничные клетки, гардероб, коридор 1 этаж)</t>
  </si>
  <si>
    <t>1 этаж 4,8+33,4+23,7+5,4+21,7+32,6+22,6= 144,2 м2</t>
  </si>
  <si>
    <t>2 этаж 9,1+5,4+251,5+4,2+10+23,3 = 303,5 м2</t>
  </si>
  <si>
    <t>итого 144,2+ 303,5=  447,7 м2</t>
  </si>
  <si>
    <t>447,7 /3503,8 = 0,1278*100= 12,78%</t>
  </si>
  <si>
    <t>15 735 242*12,78% = 2 010 963,92 руб.</t>
  </si>
  <si>
    <t>2 010 963,92 / 650 учащихся *25 учащихся = 80 696,78 руб.</t>
  </si>
  <si>
    <t>80 696,378/1680 час*24 час = 1152,81 руб.</t>
  </si>
  <si>
    <t>80696,78/12*6 = 40348,39</t>
  </si>
  <si>
    <t>Всего по расчёту на ремонт помещения  2 877,3 + 1152,81 руб = 4 030,11 руб.</t>
  </si>
  <si>
    <t>2. Санитарная обработка помещения дератизация идезинсекция</t>
  </si>
  <si>
    <t>2 этаж  9,1+5,4+251,5+4,2+10+23,3+45 = 348,5 м2</t>
  </si>
  <si>
    <t>итого 144,2+348,5  = 492,7 м2</t>
  </si>
  <si>
    <t>492,7/3503,8 0,1406*100 = 14,06%</t>
  </si>
  <si>
    <t xml:space="preserve"> На обработку здания в год необходимо 13440 руб</t>
  </si>
  <si>
    <t>13440* 14,06 % = 1 890 руб.</t>
  </si>
  <si>
    <t>1890/650уч.*20 уч.= 58,15 руб.</t>
  </si>
  <si>
    <t>3. услуги пожарной сигнализации</t>
  </si>
  <si>
    <t>на год расходы по обслуживанию пожарной сигнализации составили 41799,6 руб.</t>
  </si>
  <si>
    <t>41799,6 / 650 * 20 = 1286,14 / 12 = 107 *6 = 642 руб.</t>
  </si>
  <si>
    <t>4. услуги охраны</t>
  </si>
  <si>
    <t>на год расходы по охране учреждения(тревожная кнопка) составили  21768,24 руб.</t>
  </si>
  <si>
    <t>21768,24 / 650 *20 уч. = 669,80 руб. /12  = 55,82 руб.* 6 мес = 334,90 руб. *</t>
  </si>
  <si>
    <t>5. Ремонт помещения</t>
  </si>
  <si>
    <t>ремонт рассчитывается от балансовой стоимости 15 735 242,00 рублей  здания в процентном отношении согласно расчётов</t>
  </si>
  <si>
    <t>15 735 242* 0,013 = 204 558,15  руб.</t>
  </si>
  <si>
    <t>204 558,15/650 уч.*20 уч.= 6294,10 руб</t>
  </si>
  <si>
    <t>6294,1/12/6 =3147,05 руб.</t>
  </si>
  <si>
    <t>2 010 963,92 / 650 учащихся *20 учащихся = 61 875,81 руб.</t>
  </si>
  <si>
    <t>61875,81/12*6 = 30937,91 руб</t>
  </si>
  <si>
    <t>Всего по расчёту на ремонт помещения  3 147,05 + 30937,91 руб = 34 084,96 руб.</t>
  </si>
  <si>
    <t>6. Строительные материалы</t>
  </si>
  <si>
    <t>Расчёт затрат формируется из средних фактических затрат на год</t>
  </si>
  <si>
    <t>120000 руб./650 дет * 20 дет = 3692,31 руб.</t>
  </si>
  <si>
    <t>Прогноз затрат общехозяйственного назначения</t>
  </si>
  <si>
    <t>Таблица № 9</t>
  </si>
  <si>
    <t>Наименование статей затрат</t>
  </si>
  <si>
    <t>Сумма за весь период обучения (руб)</t>
  </si>
  <si>
    <t>Затраты на оплату труда обслуживающего персонала (таб.№ 5)</t>
  </si>
  <si>
    <t>Коммунальные услуги (таб.№ 7)</t>
  </si>
  <si>
    <t>Материальные и информационные ресурсы (таб.№ 8)</t>
  </si>
  <si>
    <t xml:space="preserve">Расчет накладных затрат </t>
  </si>
  <si>
    <t>Таблица № 10</t>
  </si>
  <si>
    <t>Накладные затраты</t>
  </si>
  <si>
    <t>Сумма,в рублях</t>
  </si>
  <si>
    <t>Прогноз затрат на административно-управленческий персонал (таб.4)</t>
  </si>
  <si>
    <t>Прогноз затрат общехозяйственного назначения (таб.9)</t>
  </si>
  <si>
    <t>Прогноз суммы начисленной амортизации имущества общехозяйственного назначения (таб.6)</t>
  </si>
  <si>
    <t>Прогноз суммарного фонда оплаты труда основного персонала (таб.2)</t>
  </si>
  <si>
    <t>Коэффициент накладных затрат</t>
  </si>
  <si>
    <t>((стр.1+стр.2+стр.3)/4)</t>
  </si>
  <si>
    <t>Затраты на основной персонал,участвующий в предоставлении платной услуги</t>
  </si>
  <si>
    <t>Итого накладные затраты</t>
  </si>
  <si>
    <t>(стр.5*стр.6)</t>
  </si>
  <si>
    <t>Расчет цены на оказание платной услуги</t>
  </si>
  <si>
    <t>Таблица № 11</t>
  </si>
  <si>
    <t>Затраты на оплату труда основного персонала (таб.2)</t>
  </si>
  <si>
    <t>Затраты материальных запасов (таб.3)</t>
  </si>
  <si>
    <t>Накладные затраты,относимые на платную услугу (таб.10)</t>
  </si>
  <si>
    <t>Итого затрат</t>
  </si>
  <si>
    <t>Рентабельность</t>
  </si>
  <si>
    <t>Цена на платную услугу</t>
  </si>
  <si>
    <t>Цена на платную услугу за месяц</t>
  </si>
  <si>
    <t>Затраты за 6 месяцев  обучения   составляют 155 999,97 рублей,в месяц = 155 999,97 / 6 = 26 000 руб.</t>
  </si>
  <si>
    <t xml:space="preserve">Цена на 1 обучающегося в месяц составляет :  26 000/20 чел. = 1300,00 руб. </t>
  </si>
  <si>
    <t>Расчёт цены на оказание платной услуги</t>
  </si>
  <si>
    <t>Таблица № 12</t>
  </si>
  <si>
    <t>единица измерения</t>
  </si>
  <si>
    <t>значение показателя</t>
  </si>
  <si>
    <t>Среднее количество учащихся  в группе</t>
  </si>
  <si>
    <t>чел.</t>
  </si>
  <si>
    <t>Период обучения 3 час в неделю</t>
  </si>
  <si>
    <t>нед/час</t>
  </si>
  <si>
    <t>24/72</t>
  </si>
  <si>
    <t>Количество занятий у одной группы на весь период обучения -в год</t>
  </si>
  <si>
    <t>занятия</t>
  </si>
  <si>
    <t>Цена услуги на одного учащегося  на весь период обучения                                     В год 155 999,97/20</t>
  </si>
  <si>
    <t>руб/чел.</t>
  </si>
  <si>
    <t>Среднее количество занятий у одной группы в месяц 72 час./6 мес.</t>
  </si>
  <si>
    <t>Цена услуги на одного учащегося  в час 155 999,97 руб/20 уч./72 час</t>
  </si>
  <si>
    <t>руб.</t>
  </si>
  <si>
    <t>Цена услуги на одного учащегося  в месяц 155 999,97 руб/6 мес./20 уч.</t>
  </si>
  <si>
    <t xml:space="preserve">Примечание: </t>
  </si>
  <si>
    <t>Полученный итог таблицы № 12  исходя из данных стоимости одного часа услуги позволяет произвести расчёт   на любое другое количество часов обучения.</t>
  </si>
  <si>
    <t xml:space="preserve">Пример расчёта стоимости услуги : </t>
  </si>
  <si>
    <t>Исходные данные: обучение осуществляется   4 часа в неделю, 12 недель обучения, 3 месяца, 20 учащихся</t>
  </si>
  <si>
    <t>Расчёт стоимости  за весь период обучения 4 час в нед.* 12 нед.= 48 часа* 108,33 руб в час. = 5199,84 руб.</t>
  </si>
  <si>
    <t>Директор МБОУ СОШ № 75/42</t>
  </si>
  <si>
    <t>И.Г. Минина</t>
  </si>
  <si>
    <t xml:space="preserve">Исполнитель </t>
  </si>
  <si>
    <t>Бякова С.В.</t>
  </si>
  <si>
    <t>тел. 43-37-44</t>
  </si>
  <si>
    <t>РАСХОДЫ (на месяц)</t>
  </si>
  <si>
    <t>на 1 группу</t>
  </si>
  <si>
    <t>% от общих</t>
  </si>
  <si>
    <t>1.</t>
  </si>
  <si>
    <t>Всего ФОТ с начислениями (КОСГУ 226)</t>
  </si>
  <si>
    <t>в том числе:</t>
  </si>
  <si>
    <t xml:space="preserve">Оплата труда </t>
  </si>
  <si>
    <t xml:space="preserve">Начисления на з/плату 30,2% </t>
  </si>
  <si>
    <t>Коммунальные услуги (КОСГУ 223)</t>
  </si>
  <si>
    <t>3.</t>
  </si>
  <si>
    <t>Расходы по содержанию имущества</t>
  </si>
  <si>
    <t>(КОСГУ -225)</t>
  </si>
  <si>
    <t>Прочие расходы  КОСГУ 226</t>
  </si>
  <si>
    <t>Приобретение оборудования (КОСГУ 310)</t>
  </si>
  <si>
    <t>Приобретение канц.товаров КОСГУ 340</t>
  </si>
  <si>
    <t xml:space="preserve">Итого </t>
  </si>
  <si>
    <t>КОНТРОЛЬ</t>
  </si>
  <si>
    <t xml:space="preserve">Предоставление специальных курсов и  циклов дисциплин </t>
  </si>
  <si>
    <t>По данной услуге обучение производится  1 час в неделю. Срок обучения 24 недели.  Весь период обучения 24 часа.</t>
  </si>
  <si>
    <t>В месяц затрачивается 4,3 часа (1 час*4,3 нед.)</t>
  </si>
  <si>
    <t>Расчет затрат на оплату труда основного персонала, непосредственно участвующего в процессе оказания платной услуги на одну группу:                            1 час в неделю, 24 недели весь период обучения, 24 часа часа весь период обучения.</t>
  </si>
  <si>
    <t>Плановый расчёт  рабочих часов учителя в месяц 4,3 часа (1 час. В нед.*4,3нед.)</t>
  </si>
  <si>
    <t>ПЛАН</t>
  </si>
  <si>
    <t>ПРЕПОД</t>
  </si>
  <si>
    <t>Хлорная известь</t>
  </si>
  <si>
    <t xml:space="preserve">Расчёт доходов на 1 группу в месяц  433,33*20=8666,6руб. </t>
  </si>
  <si>
    <t>5% от общих доходов с одного курса составляет оплата директора 8666,6*5%= 433 руб.</t>
  </si>
  <si>
    <t>15 % от оплаты педагогов составляет оплата руководителю курсов  2306,13*15% = 345,92 руб</t>
  </si>
  <si>
    <t>Затраты времени  в часах делопроизводитель и методист  0,02 шт.ед. 164,25*0,02= 3 час. В месяц</t>
  </si>
  <si>
    <t>Затраты времени  в часах специалист по кадрам  0,02 шт.ед. 164,25*0,02=3 часа в месяц</t>
  </si>
  <si>
    <t>Затраты времени  в часах диспетчера по расписанию   0,01 шт.ед. 164,25*0,01= 1,6 час. В месяц</t>
  </si>
  <si>
    <t>В расчет не берем</t>
  </si>
  <si>
    <t xml:space="preserve">Время работы оборудования в процессе оказания платной услуги- весь период 24 недели * 1 час в неделю = 24 часа </t>
  </si>
  <si>
    <t>1096,42 руб./204,8  раб.час. В мес.* 24 час.оказания услуги = 128,49 руб.</t>
  </si>
  <si>
    <t>1338,56 руб. / 204,8  = 6,54 руб. в месяц* 24 час. = 156,86 руб.</t>
  </si>
  <si>
    <t>2872,54/2 = 1436,27 м3 / 650 потребителей = 2,209 м3 в год на одного потребителя / 1672 уч.часа*24 час= 0,0317 м3 * 12,56 руб = 0,39 руб.</t>
  </si>
  <si>
    <t>Всего по расчёту на ремонт помещения  100705,55+ 40348,39 руб = 141053,94 руб.</t>
  </si>
  <si>
    <t>58,15/12*6 = 29,07 руб.</t>
  </si>
  <si>
    <t>41799,6 / 650 * 20 = 1286,14 / 12 = 107,18 *6 = 643,07 руб.</t>
  </si>
  <si>
    <t>21768,24 / 650 *20 = 669,79 руб. /12  = 55,82 руб.* 6 мес = 334,90 руб. *</t>
  </si>
  <si>
    <t>15 735 242 * 0,013 = 204 558,15  руб.</t>
  </si>
  <si>
    <t>204 558,15/ 1672 час. * 24 час = 2 936,24 руб.*0,3 = 880 руб.</t>
  </si>
  <si>
    <t>6294,1 /12*6 = 3147,05 руб.</t>
  </si>
  <si>
    <t>Затраты за 6 месяцев 24 часа обучения   составляют 53 126,55 рублей,в месяц = 53 126,55 / 6 = 8 854,43 руб.</t>
  </si>
  <si>
    <t>Период обучения 1 час в неделю</t>
  </si>
  <si>
    <t>24/24</t>
  </si>
  <si>
    <t>Цена услуги на одного учащегося  на весь период обучения В год 53 126,55/20</t>
  </si>
  <si>
    <t>Среднее количество занятий у одной группы в месяц 24 нед./6 мес.</t>
  </si>
  <si>
    <t>Цена услуги на одного учащегося  в час 53 126,55 руб/20 уч./24 час</t>
  </si>
  <si>
    <t>Цена услуги на одного учащегося  в месяц 53 126,55 руб/6 мес./20 уч.</t>
  </si>
  <si>
    <t>Расчёт стоимости  за весь период обучения 3 час в нед.* 12 нед.=36 часа* 110,68 руб в час. = 3984,48 руб.</t>
  </si>
  <si>
    <t>Стоимость услуги в месяц на одного обучающегося  5199,84/3 мес. = 1733,28 руб. = 1733 руб.</t>
  </si>
  <si>
    <t>УТВЕРЖДАЮ:</t>
  </si>
  <si>
    <t>И.Г.Минина</t>
  </si>
  <si>
    <t>Приказ №  210       от "10" августа 2015 г.</t>
  </si>
  <si>
    <t>КАЛЬКУЛЯЦИЯ</t>
  </si>
  <si>
    <t>на оказание платных услуг по МБОУ СОШ № 75/42</t>
  </si>
  <si>
    <t>"Занятия в группах по программам  интеллектуального развития для дошкольников"</t>
  </si>
  <si>
    <t>ДОХОДЫ:</t>
  </si>
  <si>
    <t>1300*20= 26000,00 руб.</t>
  </si>
  <si>
    <t>в мес./</t>
  </si>
  <si>
    <t>156000,00 руб. за 6 мес.</t>
  </si>
  <si>
    <t>Кол-во учащихся:</t>
  </si>
  <si>
    <t>Оплата в месяц:</t>
  </si>
  <si>
    <t xml:space="preserve">Срок обучения :   </t>
  </si>
  <si>
    <t>(6 мес.)</t>
  </si>
  <si>
    <t>РАСХОДЫ:</t>
  </si>
  <si>
    <t>26000,00 руб.</t>
  </si>
  <si>
    <t>156000,00 руб. в год</t>
  </si>
  <si>
    <t xml:space="preserve">Из них: </t>
  </si>
  <si>
    <t>в мес.</t>
  </si>
  <si>
    <t>в год</t>
  </si>
  <si>
    <t>Коммунальные услуги (223)</t>
  </si>
  <si>
    <t>Оплата труда ( 226)</t>
  </si>
  <si>
    <t>Содержание помещения (225)</t>
  </si>
  <si>
    <t xml:space="preserve">Прочие услуги        (226)                    </t>
  </si>
  <si>
    <t>Развитие МТБ (310)</t>
  </si>
  <si>
    <t>Развитие МТБ (340)</t>
  </si>
  <si>
    <t>составил:</t>
  </si>
  <si>
    <t xml:space="preserve">"Предоставление специальных курсов и циклов дисциплин" </t>
  </si>
  <si>
    <t>443*20=8860</t>
  </si>
  <si>
    <t>53160 руб. за 6 мес.</t>
  </si>
  <si>
    <t>53160 руб. в год</t>
  </si>
  <si>
    <t>Цена на 1 обучающегося в месяц приходится :  53 126,55 /20/6 =  442,72 руб. = 443 руб.</t>
  </si>
  <si>
    <t>1. Исходные данные: обучение осуществляется   2 часа в неделю, 12 недель обучения, 3 месяца, 20 учащихся</t>
  </si>
  <si>
    <t>Расчёт стоимости  за весь период обучения 2 час в нед.* 12 нед.=24 часа* 110,68 руб в час. = 2656,32 руб.</t>
  </si>
  <si>
    <t>Стоимость услуги в месяц на одного обучающегося  2656,32/3 = 885,44 руб. = 885 руб.</t>
  </si>
  <si>
    <t>2. Исходные данные: обучение осуществляется   3 часа в неделю, 12 недель обучения, 3 месяца, 20 учащихся</t>
  </si>
  <si>
    <t>Стоимость услуги в месяц на одного обучающегося  3984,48/3 = 1328,16 руб.= 1328 руб.</t>
  </si>
  <si>
    <t>3. Исходные данные: обучение осуществляется   4 часа в неделю, 12 недель обучения, 3 месяца, 20 учащихся</t>
  </si>
  <si>
    <t xml:space="preserve">Расчёт стоимости  за весь период обучения 4 час в нед.* 12 нед.= 48 часа* 110,68 руб в час. = 5612,64 руб. </t>
  </si>
  <si>
    <t>Стоимость услуги в месяц на одного обучающегося  5612,64/3 = 1770,88 руб.= 1771 руб.</t>
  </si>
  <si>
    <t xml:space="preserve">                                 с 01.09.2015г.- 31.05.2016 г..</t>
  </si>
  <si>
    <t xml:space="preserve">     с 01.10.2015г.- 31.05.2016 г..</t>
  </si>
  <si>
    <t>Нормы расхода материалов на нужды бюджетных учреждений</t>
  </si>
  <si>
    <t>2013 / 2014 уч.г.</t>
  </si>
  <si>
    <t>Детские дошкольные</t>
  </si>
  <si>
    <r>
      <t xml:space="preserve">            </t>
    </r>
    <r>
      <rPr>
        <b/>
        <i/>
        <sz val="14"/>
        <rFont val="Arial Cyr"/>
        <charset val="204"/>
      </rPr>
      <t xml:space="preserve"> Школы</t>
    </r>
  </si>
  <si>
    <r>
      <rPr>
        <b/>
        <sz val="12"/>
        <rFont val="Arial Cyr"/>
        <charset val="204"/>
      </rPr>
      <t>36</t>
    </r>
    <r>
      <rPr>
        <b/>
        <sz val="10"/>
        <rFont val="Arial Cyr"/>
        <charset val="204"/>
      </rPr>
      <t xml:space="preserve"> школа</t>
    </r>
  </si>
  <si>
    <r>
      <rPr>
        <b/>
        <sz val="12"/>
        <rFont val="Arial Cyr"/>
        <charset val="204"/>
      </rPr>
      <t>10</t>
    </r>
    <r>
      <rPr>
        <b/>
        <sz val="10"/>
        <rFont val="Arial Cyr"/>
        <charset val="204"/>
      </rPr>
      <t xml:space="preserve"> школа</t>
    </r>
  </si>
  <si>
    <r>
      <rPr>
        <b/>
        <sz val="12"/>
        <rFont val="Arial Cyr"/>
        <charset val="204"/>
      </rPr>
      <t>24</t>
    </r>
    <r>
      <rPr>
        <b/>
        <sz val="10"/>
        <rFont val="Arial Cyr"/>
        <charset val="204"/>
      </rPr>
      <t xml:space="preserve"> школа</t>
    </r>
  </si>
  <si>
    <r>
      <rPr>
        <b/>
        <sz val="12"/>
        <rFont val="Arial Cyr"/>
        <charset val="204"/>
      </rPr>
      <t>75/42</t>
    </r>
    <r>
      <rPr>
        <b/>
        <sz val="10"/>
        <rFont val="Arial Cyr"/>
        <charset val="204"/>
      </rPr>
      <t xml:space="preserve"> шк.</t>
    </r>
  </si>
  <si>
    <t xml:space="preserve">       учреждения</t>
  </si>
  <si>
    <t xml:space="preserve">          на 1 класс</t>
  </si>
  <si>
    <t>пол 2й этаж</t>
  </si>
  <si>
    <t>пол 3й этаж</t>
  </si>
  <si>
    <t>пол 4й этаж</t>
  </si>
  <si>
    <t>спортзал</t>
  </si>
  <si>
    <t>швецкая стенка</t>
  </si>
  <si>
    <t>плинтуса туалет</t>
  </si>
  <si>
    <t xml:space="preserve">крыльцо </t>
  </si>
  <si>
    <t xml:space="preserve">        на 1 группу</t>
  </si>
  <si>
    <t>классов</t>
  </si>
  <si>
    <t>19*12=228</t>
  </si>
  <si>
    <t>Нормы покраски на 1 м.кв.</t>
  </si>
  <si>
    <t>белая</t>
  </si>
  <si>
    <t>Панели, парты</t>
  </si>
  <si>
    <t>кг</t>
  </si>
  <si>
    <t>Пол</t>
  </si>
  <si>
    <t>Батареи</t>
  </si>
  <si>
    <t>Окна, двери</t>
  </si>
  <si>
    <t>в т.ч.</t>
  </si>
  <si>
    <t>серая 1л.</t>
  </si>
  <si>
    <t>Если на 2 раза, то используем 1,5 нормы</t>
  </si>
  <si>
    <t>синяя - 12,6</t>
  </si>
  <si>
    <t>зелёная - 3,15</t>
  </si>
  <si>
    <t>Нормы расхода материалов</t>
  </si>
  <si>
    <t>красная</t>
  </si>
  <si>
    <t>Стиральный порошок</t>
  </si>
  <si>
    <t>1 пач.</t>
  </si>
  <si>
    <t>белая - 4</t>
  </si>
  <si>
    <t>Мыло туалетное</t>
  </si>
  <si>
    <t>5 кус.</t>
  </si>
  <si>
    <t>коричневая -38,88</t>
  </si>
  <si>
    <t>,</t>
  </si>
  <si>
    <t>Мыло хозяйственное</t>
  </si>
  <si>
    <t>4 кус.</t>
  </si>
  <si>
    <t>Сода кальценированная</t>
  </si>
  <si>
    <t>1 кг</t>
  </si>
  <si>
    <t>Сода питьевая</t>
  </si>
  <si>
    <t>0,5 кг</t>
  </si>
  <si>
    <t xml:space="preserve">     -</t>
  </si>
  <si>
    <t>1 шт</t>
  </si>
  <si>
    <t>коричневая</t>
  </si>
  <si>
    <t>2 кг</t>
  </si>
  <si>
    <t>синяя</t>
  </si>
  <si>
    <t>Веник</t>
  </si>
  <si>
    <t>зелёная</t>
  </si>
  <si>
    <t>Метла</t>
  </si>
  <si>
    <t>Щетка</t>
  </si>
  <si>
    <t>1 на 3 мес.</t>
  </si>
  <si>
    <t>шт/4 мес</t>
  </si>
  <si>
    <t>серая</t>
  </si>
  <si>
    <t>2 шт</t>
  </si>
  <si>
    <t>цемент</t>
  </si>
  <si>
    <t>1 меш.</t>
  </si>
  <si>
    <t>Подстирка белья</t>
  </si>
  <si>
    <t>отсев</t>
  </si>
  <si>
    <t>2 меш</t>
  </si>
  <si>
    <t>2 кус.</t>
  </si>
  <si>
    <t>песок</t>
  </si>
  <si>
    <t>водоэмульсионка</t>
  </si>
  <si>
    <t>1 ведро</t>
  </si>
  <si>
    <t xml:space="preserve">     - </t>
  </si>
  <si>
    <t>смесители</t>
  </si>
  <si>
    <t>3 шт</t>
  </si>
  <si>
    <t>Стирка белья</t>
  </si>
  <si>
    <t>валики</t>
  </si>
  <si>
    <t>кисточки</t>
  </si>
  <si>
    <t>8 шт.</t>
  </si>
  <si>
    <t xml:space="preserve">4 кг </t>
  </si>
  <si>
    <t>Нормы расхода медикаментов и спирта</t>
  </si>
  <si>
    <t>Вата на 1 прививку</t>
  </si>
  <si>
    <r>
      <t>1,5 гр</t>
    </r>
    <r>
      <rPr>
        <i/>
        <sz val="10"/>
        <rFont val="Arial Cyr"/>
        <family val="2"/>
        <charset val="204"/>
      </rPr>
      <t>= 0,0015 кг</t>
    </r>
  </si>
  <si>
    <t>гр.</t>
  </si>
  <si>
    <t>Спирт на 1 прививку</t>
  </si>
  <si>
    <t>1,5 гр</t>
  </si>
  <si>
    <t>Банки</t>
  </si>
  <si>
    <t>10 гр</t>
  </si>
  <si>
    <t>Компресс</t>
  </si>
  <si>
    <t>20-30 гр</t>
  </si>
  <si>
    <t xml:space="preserve">20-30 </t>
  </si>
  <si>
    <t>520-780</t>
  </si>
  <si>
    <t>580-870</t>
  </si>
  <si>
    <t>220-330</t>
  </si>
  <si>
    <t>480-720</t>
  </si>
  <si>
    <t>Ампулы</t>
  </si>
  <si>
    <t>0,5 гр</t>
  </si>
  <si>
    <t>Обработка рук</t>
  </si>
  <si>
    <t>Обработка ожогов</t>
  </si>
  <si>
    <t>20-40 гр</t>
  </si>
  <si>
    <t xml:space="preserve">20-40 </t>
  </si>
  <si>
    <t>520-1040</t>
  </si>
  <si>
    <t>580-1160</t>
  </si>
  <si>
    <t>220-440</t>
  </si>
  <si>
    <t>480-960</t>
  </si>
  <si>
    <t xml:space="preserve"> Расчёт  к приложению № 9 Порядка расходования средств, полученных от платных образовательных услуг </t>
  </si>
  <si>
    <t xml:space="preserve">Предоставление специальных курсов и циклов дисциплин </t>
  </si>
  <si>
    <t>Итого в месяц  (руб.)</t>
  </si>
  <si>
    <t>занятия в группах по программам интеллектуально развития для дошкольников</t>
  </si>
  <si>
    <t>Итого в год  (руб.)</t>
  </si>
  <si>
    <t>Уд.вес от общей суммы (%)</t>
  </si>
  <si>
    <t>Для приложения № 9</t>
  </si>
  <si>
    <t>КОСГУ</t>
  </si>
  <si>
    <t>с сент. по май          6 мес.</t>
  </si>
  <si>
    <t>с окт. по май          6 мес.</t>
  </si>
  <si>
    <t xml:space="preserve">ФЗП </t>
  </si>
  <si>
    <t>Начисления на з/п</t>
  </si>
  <si>
    <t xml:space="preserve">Итого ФЗП  с начислениями </t>
  </si>
  <si>
    <t xml:space="preserve">всего ФЗП </t>
  </si>
  <si>
    <t>коммун.услуги- электроэнергия</t>
  </si>
  <si>
    <t>223.1009</t>
  </si>
  <si>
    <t>коммун.услуги- отопление, гор.вода</t>
  </si>
  <si>
    <t>223.1012</t>
  </si>
  <si>
    <t>коммун.услуги- хол.вода, отведение.</t>
  </si>
  <si>
    <t>223.1013</t>
  </si>
  <si>
    <t>Итого коммунальные услуги</t>
  </si>
  <si>
    <t xml:space="preserve">Расход за содержание помещений </t>
  </si>
  <si>
    <t xml:space="preserve">Прочие услуги </t>
  </si>
  <si>
    <t>Прочие расходы</t>
  </si>
  <si>
    <t xml:space="preserve">Поступление нефинансовых активов </t>
  </si>
  <si>
    <t xml:space="preserve">Увеличение стоимости материальных запасов </t>
  </si>
  <si>
    <t>итого прочие расходы:</t>
  </si>
  <si>
    <t>всего</t>
  </si>
  <si>
    <t>Кол-во детей в группах</t>
  </si>
  <si>
    <t>Стоимость единицы услуги в месяц (руб),/ весь период обучения</t>
  </si>
  <si>
    <t xml:space="preserve">Директор МБОУ СОШ № 75/42                                                 </t>
  </si>
  <si>
    <t>Исполнитель: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</si>
</sst>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#,##0.00_р_."/>
    <numFmt numFmtId="165" formatCode="_(* #,##0.000_);_(* \(#,##0.000\);_(* &quot;-&quot;??_);_(@_)"/>
    <numFmt numFmtId="166" formatCode="_(* #,##0.0000_);_(* \(#,##0.0000\);_(* &quot;-&quot;??_);_(@_)"/>
    <numFmt numFmtId="167" formatCode="_(* #,##0.00_);_(* \(#,##0.00\);_(* &quot;-&quot;??_);_(@_)"/>
    <numFmt numFmtId="168" formatCode="0.0"/>
    <numFmt numFmtId="169" formatCode="0.000"/>
  </numFmts>
  <fonts count="8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i/>
      <sz val="14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</font>
    <font>
      <b/>
      <sz val="12"/>
      <name val="Arial Cyr"/>
      <family val="2"/>
      <charset val="204"/>
    </font>
    <font>
      <sz val="12"/>
      <name val="Times New Roman"/>
      <family val="1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4"/>
      <name val="Times New Roman"/>
      <family val="1"/>
    </font>
    <font>
      <sz val="16"/>
      <name val="Arial"/>
      <family val="2"/>
      <charset val="204"/>
    </font>
    <font>
      <b/>
      <sz val="14"/>
      <color indexed="12"/>
      <name val="Times New Roman"/>
      <family val="1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indexed="17"/>
      <name val="Times New Roman"/>
      <family val="1"/>
      <charset val="204"/>
    </font>
    <font>
      <b/>
      <i/>
      <sz val="10"/>
      <color indexed="17"/>
      <name val="Times New Roman"/>
      <family val="1"/>
      <charset val="204"/>
    </font>
    <font>
      <b/>
      <i/>
      <sz val="12"/>
      <color indexed="17"/>
      <name val="Times New Roman"/>
      <family val="1"/>
      <charset val="204"/>
    </font>
    <font>
      <b/>
      <sz val="11"/>
      <name val="Arial Cyr"/>
      <family val="2"/>
      <charset val="204"/>
    </font>
    <font>
      <b/>
      <i/>
      <sz val="14"/>
      <name val="Times New Roman"/>
      <family val="1"/>
    </font>
    <font>
      <b/>
      <i/>
      <sz val="10"/>
      <name val="Arial Cyr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Arial Cyr"/>
      <family val="2"/>
      <charset val="204"/>
    </font>
    <font>
      <sz val="12"/>
      <color indexed="10"/>
      <name val="Times New Roman"/>
      <family val="1"/>
      <charset val="204"/>
    </font>
    <font>
      <i/>
      <sz val="12"/>
      <name val="Times New Roman"/>
      <family val="1"/>
    </font>
    <font>
      <b/>
      <i/>
      <sz val="11"/>
      <color indexed="17"/>
      <name val="Arial Cyr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  <font>
      <i/>
      <sz val="12"/>
      <name val="Arial Cyr"/>
      <family val="2"/>
      <charset val="204"/>
    </font>
    <font>
      <i/>
      <sz val="12"/>
      <name val="Arial Narrow"/>
      <family val="2"/>
      <charset val="204"/>
    </font>
    <font>
      <sz val="12"/>
      <name val="Arial Cyr"/>
      <charset val="204"/>
    </font>
    <font>
      <sz val="12"/>
      <name val="Arial Narrow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FF00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12"/>
      <color rgb="FF3F3F3F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4"/>
      <name val="Arial Narrow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sz val="14"/>
      <name val="Arial Narrow"/>
      <family val="2"/>
      <charset val="204"/>
    </font>
    <font>
      <b/>
      <i/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FF0000"/>
      <name val="Calibri"/>
      <family val="2"/>
      <charset val="204"/>
      <scheme val="minor"/>
    </font>
    <font>
      <sz val="14"/>
      <color rgb="FFFF0000"/>
      <name val="Arial"/>
      <family val="2"/>
      <charset val="204"/>
    </font>
    <font>
      <sz val="14"/>
      <color rgb="FF3F3F3F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b/>
      <i/>
      <sz val="14"/>
      <name val="Arial Cyr"/>
      <charset val="204"/>
    </font>
    <font>
      <i/>
      <sz val="10"/>
      <name val="Arial Cyr"/>
      <family val="2"/>
      <charset val="204"/>
    </font>
    <font>
      <b/>
      <sz val="10"/>
      <name val="Arial Cyr"/>
      <charset val="204"/>
    </font>
    <font>
      <b/>
      <u/>
      <sz val="14"/>
      <name val="Arial Cyr"/>
      <family val="2"/>
      <charset val="204"/>
    </font>
    <font>
      <b/>
      <sz val="12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" fillId="2" borderId="1" applyNumberFormat="0" applyAlignment="0" applyProtection="0"/>
    <xf numFmtId="0" fontId="1" fillId="0" borderId="0"/>
  </cellStyleXfs>
  <cellXfs count="624">
    <xf numFmtId="0" fontId="0" fillId="0" borderId="0" xfId="0"/>
    <xf numFmtId="0" fontId="1" fillId="0" borderId="0" xfId="1"/>
    <xf numFmtId="0" fontId="3" fillId="5" borderId="3" xfId="0" applyFont="1" applyFill="1" applyBorder="1" applyAlignment="1"/>
    <xf numFmtId="0" fontId="3" fillId="0" borderId="0" xfId="0" applyFont="1" applyBorder="1"/>
    <xf numFmtId="0" fontId="3" fillId="5" borderId="0" xfId="0" applyFont="1" applyFill="1" applyBorder="1"/>
    <xf numFmtId="0" fontId="0" fillId="0" borderId="0" xfId="0" applyFill="1"/>
    <xf numFmtId="0" fontId="1" fillId="0" borderId="0" xfId="1" applyFill="1"/>
    <xf numFmtId="0" fontId="8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/>
    <xf numFmtId="0" fontId="4" fillId="0" borderId="0" xfId="0" applyFont="1"/>
    <xf numFmtId="2" fontId="13" fillId="0" borderId="0" xfId="0" applyNumberFormat="1" applyFont="1"/>
    <xf numFmtId="0" fontId="14" fillId="0" borderId="0" xfId="0" applyFont="1" applyFill="1" applyAlignment="1">
      <alignment horizontal="right"/>
    </xf>
    <xf numFmtId="0" fontId="14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 applyAlignment="1">
      <alignment horizontal="center"/>
    </xf>
    <xf numFmtId="0" fontId="12" fillId="0" borderId="0" xfId="0" applyFont="1" applyFill="1"/>
    <xf numFmtId="0" fontId="20" fillId="0" borderId="0" xfId="0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/>
    <xf numFmtId="2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/>
    <xf numFmtId="2" fontId="21" fillId="0" borderId="0" xfId="0" applyNumberFormat="1" applyFont="1" applyFill="1"/>
    <xf numFmtId="0" fontId="21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/>
    <xf numFmtId="0" fontId="23" fillId="0" borderId="0" xfId="0" applyFont="1" applyFill="1"/>
    <xf numFmtId="0" fontId="12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2" fontId="24" fillId="0" borderId="0" xfId="0" applyNumberFormat="1" applyFont="1" applyFill="1"/>
    <xf numFmtId="2" fontId="23" fillId="0" borderId="0" xfId="0" applyNumberFormat="1" applyFont="1" applyFill="1"/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/>
    <xf numFmtId="0" fontId="21" fillId="0" borderId="0" xfId="0" applyFont="1" applyFill="1" applyAlignment="1">
      <alignment horizontal="justify"/>
    </xf>
    <xf numFmtId="0" fontId="27" fillId="0" borderId="0" xfId="0" applyFont="1" applyFill="1"/>
    <xf numFmtId="0" fontId="4" fillId="0" borderId="0" xfId="0" applyFont="1" applyFill="1"/>
    <xf numFmtId="0" fontId="28" fillId="0" borderId="0" xfId="0" applyFont="1" applyFill="1"/>
    <xf numFmtId="0" fontId="29" fillId="0" borderId="0" xfId="0" applyFont="1" applyFill="1" applyAlignment="1">
      <alignment horizontal="right"/>
    </xf>
    <xf numFmtId="0" fontId="30" fillId="0" borderId="0" xfId="0" applyFont="1" applyFill="1"/>
    <xf numFmtId="0" fontId="31" fillId="0" borderId="0" xfId="1" applyFont="1" applyFill="1"/>
    <xf numFmtId="0" fontId="29" fillId="0" borderId="0" xfId="0" applyFont="1" applyFill="1" applyAlignment="1">
      <alignment horizontal="center"/>
    </xf>
    <xf numFmtId="0" fontId="15" fillId="0" borderId="0" xfId="0" applyFont="1" applyFill="1"/>
    <xf numFmtId="2" fontId="32" fillId="0" borderId="0" xfId="0" applyNumberFormat="1" applyFont="1" applyFill="1" applyAlignment="1">
      <alignment horizontal="right"/>
    </xf>
    <xf numFmtId="0" fontId="5" fillId="0" borderId="0" xfId="0" applyFont="1" applyFill="1"/>
    <xf numFmtId="0" fontId="13" fillId="0" borderId="0" xfId="0" applyFont="1" applyFill="1" applyAlignment="1">
      <alignment horizontal="right"/>
    </xf>
    <xf numFmtId="0" fontId="13" fillId="0" borderId="0" xfId="0" applyFont="1" applyFill="1"/>
    <xf numFmtId="0" fontId="33" fillId="0" borderId="0" xfId="0" applyFont="1" applyFill="1"/>
    <xf numFmtId="0" fontId="34" fillId="0" borderId="0" xfId="0" applyFont="1" applyFill="1"/>
    <xf numFmtId="0" fontId="35" fillId="0" borderId="0" xfId="0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2" fontId="12" fillId="0" borderId="0" xfId="1" applyNumberFormat="1" applyFont="1" applyFill="1"/>
    <xf numFmtId="0" fontId="36" fillId="0" borderId="0" xfId="0" applyFont="1" applyFill="1"/>
    <xf numFmtId="0" fontId="37" fillId="0" borderId="0" xfId="0" applyFont="1" applyFill="1"/>
    <xf numFmtId="0" fontId="32" fillId="0" borderId="0" xfId="0" applyFont="1" applyFill="1" applyAlignment="1">
      <alignment horizontal="right"/>
    </xf>
    <xf numFmtId="0" fontId="29" fillId="0" borderId="0" xfId="0" applyFont="1" applyFill="1"/>
    <xf numFmtId="2" fontId="24" fillId="0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right"/>
    </xf>
    <xf numFmtId="0" fontId="39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/>
    </xf>
    <xf numFmtId="0" fontId="14" fillId="0" borderId="0" xfId="0" applyFont="1"/>
    <xf numFmtId="0" fontId="13" fillId="0" borderId="0" xfId="0" applyFont="1"/>
    <xf numFmtId="0" fontId="17" fillId="0" borderId="0" xfId="0" applyFont="1" applyAlignment="1">
      <alignment horizontal="center"/>
    </xf>
    <xf numFmtId="0" fontId="12" fillId="0" borderId="0" xfId="0" applyFont="1"/>
    <xf numFmtId="0" fontId="23" fillId="0" borderId="0" xfId="0" applyFont="1"/>
    <xf numFmtId="0" fontId="26" fillId="0" borderId="0" xfId="0" applyFont="1"/>
    <xf numFmtId="0" fontId="12" fillId="0" borderId="0" xfId="0" applyFont="1" applyAlignment="1">
      <alignment horizontal="left"/>
    </xf>
    <xf numFmtId="0" fontId="18" fillId="0" borderId="0" xfId="0" applyFont="1"/>
    <xf numFmtId="0" fontId="6" fillId="0" borderId="0" xfId="1" applyFont="1"/>
    <xf numFmtId="0" fontId="7" fillId="0" borderId="0" xfId="1" applyFont="1" applyAlignment="1">
      <alignment horizontal="center"/>
    </xf>
    <xf numFmtId="0" fontId="41" fillId="0" borderId="0" xfId="0" applyFont="1"/>
    <xf numFmtId="0" fontId="7" fillId="0" borderId="0" xfId="1" applyFont="1"/>
    <xf numFmtId="0" fontId="7" fillId="3" borderId="2" xfId="1" applyFont="1" applyFill="1" applyBorder="1" applyAlignment="1">
      <alignment horizontal="right"/>
    </xf>
    <xf numFmtId="0" fontId="6" fillId="0" borderId="0" xfId="1" applyFont="1" applyBorder="1"/>
    <xf numFmtId="0" fontId="7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/>
    </xf>
    <xf numFmtId="2" fontId="7" fillId="0" borderId="3" xfId="1" applyNumberFormat="1" applyFont="1" applyBorder="1" applyAlignment="1">
      <alignment horizontal="center"/>
    </xf>
    <xf numFmtId="0" fontId="42" fillId="5" borderId="0" xfId="0" applyFont="1" applyFill="1" applyAlignment="1">
      <alignment horizontal="center"/>
    </xf>
    <xf numFmtId="0" fontId="6" fillId="0" borderId="3" xfId="1" applyFont="1" applyBorder="1"/>
    <xf numFmtId="0" fontId="6" fillId="5" borderId="0" xfId="1" applyFont="1" applyFill="1" applyBorder="1" applyAlignment="1"/>
    <xf numFmtId="0" fontId="6" fillId="5" borderId="0" xfId="1" applyFont="1" applyFill="1"/>
    <xf numFmtId="0" fontId="6" fillId="0" borderId="0" xfId="1" applyFont="1" applyBorder="1" applyAlignment="1"/>
    <xf numFmtId="0" fontId="43" fillId="5" borderId="0" xfId="1" applyFont="1" applyFill="1" applyAlignment="1"/>
    <xf numFmtId="0" fontId="41" fillId="5" borderId="0" xfId="0" applyFont="1" applyFill="1"/>
    <xf numFmtId="0" fontId="43" fillId="5" borderId="0" xfId="1" applyFont="1" applyFill="1" applyAlignment="1">
      <alignment horizontal="right"/>
    </xf>
    <xf numFmtId="0" fontId="43" fillId="5" borderId="0" xfId="1" applyFont="1" applyFill="1"/>
    <xf numFmtId="0" fontId="43" fillId="0" borderId="0" xfId="1" applyFont="1"/>
    <xf numFmtId="10" fontId="41" fillId="0" borderId="0" xfId="0" applyNumberFormat="1" applyFont="1"/>
    <xf numFmtId="0" fontId="41" fillId="0" borderId="0" xfId="0" applyFont="1" applyAlignment="1"/>
    <xf numFmtId="0" fontId="44" fillId="0" borderId="0" xfId="1" applyFont="1"/>
    <xf numFmtId="0" fontId="43" fillId="0" borderId="0" xfId="1" applyFont="1" applyAlignment="1"/>
    <xf numFmtId="0" fontId="43" fillId="5" borderId="0" xfId="1" applyFont="1" applyFill="1" applyAlignment="1">
      <alignment horizontal="center"/>
    </xf>
    <xf numFmtId="1" fontId="43" fillId="5" borderId="0" xfId="1" applyNumberFormat="1" applyFont="1" applyFill="1"/>
    <xf numFmtId="0" fontId="6" fillId="0" borderId="0" xfId="1" applyFont="1" applyFill="1" applyAlignment="1">
      <alignment horizontal="left"/>
    </xf>
    <xf numFmtId="0" fontId="43" fillId="0" borderId="0" xfId="1" applyFont="1" applyBorder="1" applyAlignment="1"/>
    <xf numFmtId="0" fontId="43" fillId="0" borderId="0" xfId="1" applyFont="1" applyBorder="1" applyAlignment="1">
      <alignment horizontal="right"/>
    </xf>
    <xf numFmtId="0" fontId="6" fillId="0" borderId="0" xfId="1" applyFont="1" applyAlignment="1">
      <alignment horizontal="center"/>
    </xf>
    <xf numFmtId="0" fontId="45" fillId="0" borderId="0" xfId="2" applyFont="1"/>
    <xf numFmtId="0" fontId="45" fillId="0" borderId="0" xfId="3" applyFont="1"/>
    <xf numFmtId="0" fontId="45" fillId="0" borderId="0" xfId="0" applyFont="1"/>
    <xf numFmtId="0" fontId="6" fillId="0" borderId="0" xfId="2" applyFont="1"/>
    <xf numFmtId="0" fontId="6" fillId="0" borderId="0" xfId="2" applyFont="1" applyAlignment="1">
      <alignment horizontal="center"/>
    </xf>
    <xf numFmtId="0" fontId="7" fillId="0" borderId="3" xfId="1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/>
    </xf>
    <xf numFmtId="0" fontId="6" fillId="0" borderId="0" xfId="2" applyFont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6" borderId="3" xfId="1" applyFont="1" applyFill="1" applyBorder="1" applyAlignment="1">
      <alignment horizontal="center"/>
    </xf>
    <xf numFmtId="0" fontId="6" fillId="6" borderId="3" xfId="1" applyFont="1" applyFill="1" applyBorder="1" applyAlignment="1">
      <alignment horizontal="left"/>
    </xf>
    <xf numFmtId="2" fontId="6" fillId="6" borderId="3" xfId="1" applyNumberFormat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5" xfId="1" applyFont="1" applyFill="1" applyBorder="1"/>
    <xf numFmtId="2" fontId="6" fillId="5" borderId="5" xfId="1" applyNumberFormat="1" applyFont="1" applyFill="1" applyBorder="1" applyAlignment="1">
      <alignment horizontal="center"/>
    </xf>
    <xf numFmtId="2" fontId="6" fillId="0" borderId="0" xfId="1" applyNumberFormat="1" applyFont="1" applyBorder="1" applyAlignment="1">
      <alignment horizontal="left"/>
    </xf>
    <xf numFmtId="0" fontId="46" fillId="0" borderId="3" xfId="0" applyFont="1" applyBorder="1"/>
    <xf numFmtId="0" fontId="46" fillId="4" borderId="3" xfId="0" applyFont="1" applyFill="1" applyBorder="1" applyAlignment="1">
      <alignment horizontal="center"/>
    </xf>
    <xf numFmtId="0" fontId="46" fillId="4" borderId="6" xfId="0" applyFont="1" applyFill="1" applyBorder="1" applyAlignment="1">
      <alignment horizontal="center"/>
    </xf>
    <xf numFmtId="0" fontId="46" fillId="4" borderId="3" xfId="0" applyFont="1" applyFill="1" applyBorder="1"/>
    <xf numFmtId="2" fontId="46" fillId="4" borderId="3" xfId="0" applyNumberFormat="1" applyFont="1" applyFill="1" applyBorder="1" applyAlignment="1">
      <alignment horizontal="center"/>
    </xf>
    <xf numFmtId="2" fontId="46" fillId="4" borderId="6" xfId="0" applyNumberFormat="1" applyFont="1" applyFill="1" applyBorder="1" applyAlignment="1">
      <alignment horizontal="center"/>
    </xf>
    <xf numFmtId="0" fontId="47" fillId="4" borderId="3" xfId="0" applyFont="1" applyFill="1" applyBorder="1"/>
    <xf numFmtId="2" fontId="47" fillId="4" borderId="3" xfId="0" applyNumberFormat="1" applyFont="1" applyFill="1" applyBorder="1" applyAlignment="1">
      <alignment horizontal="center"/>
    </xf>
    <xf numFmtId="0" fontId="47" fillId="4" borderId="6" xfId="0" applyFont="1" applyFill="1" applyBorder="1"/>
    <xf numFmtId="0" fontId="48" fillId="4" borderId="3" xfId="0" applyFont="1" applyFill="1" applyBorder="1"/>
    <xf numFmtId="2" fontId="48" fillId="4" borderId="3" xfId="0" applyNumberFormat="1" applyFont="1" applyFill="1" applyBorder="1"/>
    <xf numFmtId="0" fontId="6" fillId="5" borderId="3" xfId="1" applyFont="1" applyFill="1" applyBorder="1" applyAlignment="1">
      <alignment horizontal="center"/>
    </xf>
    <xf numFmtId="0" fontId="6" fillId="5" borderId="3" xfId="1" applyFont="1" applyFill="1" applyBorder="1"/>
    <xf numFmtId="2" fontId="6" fillId="5" borderId="3" xfId="1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left"/>
    </xf>
    <xf numFmtId="0" fontId="7" fillId="6" borderId="3" xfId="1" applyFont="1" applyFill="1" applyBorder="1" applyAlignment="1"/>
    <xf numFmtId="0" fontId="6" fillId="6" borderId="3" xfId="1" applyFont="1" applyFill="1" applyBorder="1"/>
    <xf numFmtId="2" fontId="7" fillId="6" borderId="3" xfId="1" applyNumberFormat="1" applyFont="1" applyFill="1" applyBorder="1" applyAlignment="1">
      <alignment horizontal="center"/>
    </xf>
    <xf numFmtId="2" fontId="7" fillId="0" borderId="0" xfId="1" applyNumberFormat="1" applyFont="1" applyBorder="1" applyAlignment="1">
      <alignment horizontal="left"/>
    </xf>
    <xf numFmtId="0" fontId="7" fillId="5" borderId="0" xfId="1" applyFont="1" applyFill="1" applyAlignment="1"/>
    <xf numFmtId="0" fontId="6" fillId="5" borderId="0" xfId="1" applyFont="1" applyFill="1" applyAlignment="1"/>
    <xf numFmtId="0" fontId="6" fillId="0" borderId="0" xfId="1" applyFont="1" applyFill="1" applyBorder="1" applyAlignment="1"/>
    <xf numFmtId="0" fontId="41" fillId="0" borderId="0" xfId="0" applyFont="1" applyBorder="1"/>
    <xf numFmtId="0" fontId="7" fillId="5" borderId="3" xfId="1" applyFont="1" applyFill="1" applyBorder="1" applyAlignment="1">
      <alignment horizontal="center" vertical="center"/>
    </xf>
    <xf numFmtId="0" fontId="49" fillId="5" borderId="3" xfId="0" applyFont="1" applyFill="1" applyBorder="1" applyAlignment="1"/>
    <xf numFmtId="0" fontId="7" fillId="5" borderId="3" xfId="1" applyFont="1" applyFill="1" applyBorder="1" applyAlignment="1">
      <alignment horizontal="center" vertical="center" wrapText="1"/>
    </xf>
    <xf numFmtId="0" fontId="49" fillId="5" borderId="3" xfId="0" applyFont="1" applyFill="1" applyBorder="1" applyAlignment="1">
      <alignment wrapText="1"/>
    </xf>
    <xf numFmtId="0" fontId="49" fillId="0" borderId="0" xfId="0" applyFont="1" applyBorder="1"/>
    <xf numFmtId="0" fontId="49" fillId="5" borderId="0" xfId="0" applyFont="1" applyFill="1" applyBorder="1"/>
    <xf numFmtId="0" fontId="6" fillId="5" borderId="3" xfId="1" applyFont="1" applyFill="1" applyBorder="1" applyAlignment="1"/>
    <xf numFmtId="0" fontId="41" fillId="5" borderId="3" xfId="0" applyFont="1" applyFill="1" applyBorder="1"/>
    <xf numFmtId="0" fontId="50" fillId="5" borderId="3" xfId="0" applyFont="1" applyFill="1" applyBorder="1" applyAlignment="1"/>
    <xf numFmtId="0" fontId="14" fillId="5" borderId="3" xfId="0" applyFont="1" applyFill="1" applyBorder="1" applyAlignment="1">
      <alignment horizontal="center"/>
    </xf>
    <xf numFmtId="0" fontId="51" fillId="5" borderId="3" xfId="0" applyFont="1" applyFill="1" applyBorder="1" applyAlignment="1">
      <alignment horizontal="center"/>
    </xf>
    <xf numFmtId="0" fontId="49" fillId="5" borderId="3" xfId="0" applyFont="1" applyFill="1" applyBorder="1" applyAlignment="1">
      <alignment horizontal="center"/>
    </xf>
    <xf numFmtId="0" fontId="52" fillId="5" borderId="3" xfId="1" applyFont="1" applyFill="1" applyBorder="1" applyAlignment="1"/>
    <xf numFmtId="0" fontId="50" fillId="5" borderId="3" xfId="0" applyFont="1" applyFill="1" applyBorder="1"/>
    <xf numFmtId="0" fontId="6" fillId="0" borderId="0" xfId="1" applyFont="1" applyFill="1" applyAlignment="1"/>
    <xf numFmtId="0" fontId="6" fillId="6" borderId="3" xfId="1" applyFont="1" applyFill="1" applyBorder="1" applyAlignment="1"/>
    <xf numFmtId="0" fontId="14" fillId="6" borderId="3" xfId="0" applyFont="1" applyFill="1" applyBorder="1" applyAlignment="1">
      <alignment horizontal="center"/>
    </xf>
    <xf numFmtId="0" fontId="7" fillId="6" borderId="3" xfId="1" applyFont="1" applyFill="1" applyBorder="1" applyAlignment="1">
      <alignment horizontal="center"/>
    </xf>
    <xf numFmtId="0" fontId="6" fillId="5" borderId="0" xfId="1" applyFont="1" applyFill="1" applyBorder="1" applyAlignment="1">
      <alignment horizontal="center"/>
    </xf>
    <xf numFmtId="0" fontId="6" fillId="0" borderId="0" xfId="1" applyFont="1" applyFill="1" applyBorder="1"/>
    <xf numFmtId="0" fontId="42" fillId="0" borderId="2" xfId="0" applyFont="1" applyBorder="1"/>
    <xf numFmtId="0" fontId="7" fillId="0" borderId="3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/>
    </xf>
    <xf numFmtId="0" fontId="6" fillId="0" borderId="3" xfId="1" applyFont="1" applyBorder="1" applyAlignment="1">
      <alignment horizontal="left"/>
    </xf>
    <xf numFmtId="2" fontId="6" fillId="0" borderId="3" xfId="1" applyNumberFormat="1" applyFont="1" applyBorder="1" applyAlignment="1">
      <alignment horizontal="center"/>
    </xf>
    <xf numFmtId="2" fontId="6" fillId="0" borderId="3" xfId="4" applyNumberFormat="1" applyFont="1" applyBorder="1" applyAlignment="1">
      <alignment horizontal="center"/>
    </xf>
    <xf numFmtId="0" fontId="6" fillId="0" borderId="3" xfId="1" applyFont="1" applyBorder="1" applyAlignment="1">
      <alignment horizontal="left" wrapText="1"/>
    </xf>
    <xf numFmtId="0" fontId="7" fillId="0" borderId="3" xfId="1" applyFont="1" applyBorder="1"/>
    <xf numFmtId="2" fontId="6" fillId="0" borderId="3" xfId="1" applyNumberFormat="1" applyFont="1" applyBorder="1"/>
    <xf numFmtId="2" fontId="7" fillId="8" borderId="3" xfId="1" applyNumberFormat="1" applyFont="1" applyFill="1" applyBorder="1" applyAlignment="1">
      <alignment horizontal="center"/>
    </xf>
    <xf numFmtId="0" fontId="7" fillId="0" borderId="0" xfId="1" applyFont="1" applyBorder="1"/>
    <xf numFmtId="2" fontId="6" fillId="0" borderId="0" xfId="1" applyNumberFormat="1" applyFont="1" applyBorder="1"/>
    <xf numFmtId="2" fontId="7" fillId="5" borderId="0" xfId="1" applyNumberFormat="1" applyFont="1" applyFill="1" applyBorder="1" applyAlignment="1">
      <alignment horizontal="center"/>
    </xf>
    <xf numFmtId="2" fontId="6" fillId="5" borderId="0" xfId="1" applyNumberFormat="1" applyFont="1" applyFill="1" applyBorder="1"/>
    <xf numFmtId="0" fontId="7" fillId="5" borderId="0" xfId="1" applyFont="1" applyFill="1"/>
    <xf numFmtId="2" fontId="7" fillId="6" borderId="3" xfId="4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7" borderId="0" xfId="1" applyFont="1" applyFill="1"/>
    <xf numFmtId="0" fontId="6" fillId="0" borderId="0" xfId="1" applyFont="1" applyFill="1"/>
    <xf numFmtId="0" fontId="7" fillId="0" borderId="2" xfId="1" applyFont="1" applyFill="1" applyBorder="1" applyAlignment="1">
      <alignment horizontal="right"/>
    </xf>
    <xf numFmtId="0" fontId="41" fillId="0" borderId="0" xfId="0" applyFont="1" applyFill="1"/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/>
    <xf numFmtId="3" fontId="6" fillId="0" borderId="3" xfId="5" applyNumberFormat="1" applyFont="1" applyFill="1" applyBorder="1" applyAlignment="1">
      <alignment horizontal="center"/>
    </xf>
    <xf numFmtId="165" fontId="7" fillId="0" borderId="3" xfId="6" applyNumberFormat="1" applyFont="1" applyFill="1" applyBorder="1" applyAlignment="1">
      <alignment horizontal="left"/>
    </xf>
    <xf numFmtId="2" fontId="42" fillId="0" borderId="3" xfId="0" applyNumberFormat="1" applyFont="1" applyBorder="1" applyAlignment="1">
      <alignment horizontal="center"/>
    </xf>
    <xf numFmtId="0" fontId="6" fillId="0" borderId="3" xfId="7" applyFont="1" applyFill="1" applyBorder="1" applyAlignment="1">
      <alignment horizontal="center"/>
    </xf>
    <xf numFmtId="166" fontId="7" fillId="0" borderId="3" xfId="6" applyNumberFormat="1" applyFont="1" applyFill="1" applyBorder="1"/>
    <xf numFmtId="167" fontId="7" fillId="0" borderId="3" xfId="6" applyNumberFormat="1" applyFont="1" applyFill="1" applyBorder="1"/>
    <xf numFmtId="0" fontId="41" fillId="6" borderId="3" xfId="0" applyFont="1" applyFill="1" applyBorder="1"/>
    <xf numFmtId="43" fontId="7" fillId="6" borderId="3" xfId="1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44" fillId="5" borderId="0" xfId="1" applyFont="1" applyFill="1" applyAlignment="1">
      <alignment horizontal="right"/>
    </xf>
    <xf numFmtId="0" fontId="44" fillId="5" borderId="0" xfId="1" applyFont="1" applyFill="1" applyAlignment="1"/>
    <xf numFmtId="0" fontId="44" fillId="5" borderId="0" xfId="1" applyFont="1" applyFill="1"/>
    <xf numFmtId="0" fontId="53" fillId="5" borderId="0" xfId="1" applyFont="1" applyFill="1" applyAlignment="1"/>
    <xf numFmtId="0" fontId="54" fillId="0" borderId="2" xfId="0" applyFont="1" applyBorder="1" applyAlignment="1">
      <alignment horizontal="right"/>
    </xf>
    <xf numFmtId="0" fontId="7" fillId="0" borderId="0" xfId="1" applyFont="1" applyFill="1" applyAlignment="1">
      <alignment horizontal="center"/>
    </xf>
    <xf numFmtId="0" fontId="54" fillId="0" borderId="0" xfId="0" applyFont="1" applyAlignment="1">
      <alignment horizontal="right"/>
    </xf>
    <xf numFmtId="0" fontId="7" fillId="0" borderId="0" xfId="1" applyFont="1" applyFill="1" applyAlignment="1">
      <alignment horizontal="left"/>
    </xf>
    <xf numFmtId="0" fontId="7" fillId="0" borderId="0" xfId="1" applyFont="1" applyFill="1" applyAlignment="1"/>
    <xf numFmtId="0" fontId="6" fillId="0" borderId="0" xfId="1" applyFont="1" applyFill="1" applyAlignment="1">
      <alignment wrapText="1"/>
    </xf>
    <xf numFmtId="0" fontId="53" fillId="0" borderId="0" xfId="1" applyFont="1" applyFill="1" applyAlignment="1"/>
    <xf numFmtId="0" fontId="55" fillId="5" borderId="0" xfId="0" applyFont="1" applyFill="1"/>
    <xf numFmtId="0" fontId="42" fillId="0" borderId="0" xfId="0" applyFont="1"/>
    <xf numFmtId="0" fontId="7" fillId="6" borderId="0" xfId="1" applyFont="1" applyFill="1" applyAlignment="1"/>
    <xf numFmtId="0" fontId="53" fillId="0" borderId="0" xfId="1" applyFont="1" applyFill="1" applyBorder="1" applyAlignment="1"/>
    <xf numFmtId="0" fontId="56" fillId="0" borderId="0" xfId="1" applyFont="1" applyFill="1" applyAlignment="1"/>
    <xf numFmtId="0" fontId="7" fillId="0" borderId="0" xfId="1" applyFont="1" applyFill="1"/>
    <xf numFmtId="0" fontId="42" fillId="6" borderId="0" xfId="0" applyFont="1" applyFill="1"/>
    <xf numFmtId="0" fontId="7" fillId="6" borderId="0" xfId="1" applyFont="1" applyFill="1"/>
    <xf numFmtId="0" fontId="7" fillId="5" borderId="0" xfId="1" applyFont="1" applyFill="1" applyBorder="1" applyAlignment="1"/>
    <xf numFmtId="0" fontId="7" fillId="4" borderId="0" xfId="1" applyFont="1" applyFill="1"/>
    <xf numFmtId="0" fontId="7" fillId="0" borderId="2" xfId="2" applyFont="1" applyBorder="1"/>
    <xf numFmtId="0" fontId="7" fillId="0" borderId="3" xfId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6" fillId="0" borderId="3" xfId="1" applyFont="1" applyFill="1" applyBorder="1" applyAlignment="1">
      <alignment horizontal="center" wrapText="1"/>
    </xf>
    <xf numFmtId="0" fontId="6" fillId="0" borderId="0" xfId="1" applyFont="1" applyBorder="1" applyAlignment="1">
      <alignment horizontal="center" wrapText="1"/>
    </xf>
    <xf numFmtId="2" fontId="6" fillId="5" borderId="0" xfId="1" applyNumberFormat="1" applyFont="1" applyFill="1" applyBorder="1" applyAlignment="1">
      <alignment horizontal="center"/>
    </xf>
    <xf numFmtId="0" fontId="7" fillId="6" borderId="3" xfId="1" applyFont="1" applyFill="1" applyBorder="1"/>
    <xf numFmtId="2" fontId="7" fillId="0" borderId="0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5" borderId="0" xfId="1" applyFont="1" applyFill="1" applyAlignment="1">
      <alignment horizontal="left"/>
    </xf>
    <xf numFmtId="0" fontId="6" fillId="0" borderId="3" xfId="1" applyFont="1" applyBorder="1" applyAlignment="1">
      <alignment wrapText="1"/>
    </xf>
    <xf numFmtId="2" fontId="7" fillId="3" borderId="3" xfId="1" applyNumberFormat="1" applyFont="1" applyFill="1" applyBorder="1" applyAlignment="1">
      <alignment horizontal="center"/>
    </xf>
    <xf numFmtId="2" fontId="7" fillId="4" borderId="3" xfId="1" applyNumberFormat="1" applyFont="1" applyFill="1" applyBorder="1" applyAlignment="1">
      <alignment horizontal="center"/>
    </xf>
    <xf numFmtId="2" fontId="7" fillId="9" borderId="3" xfId="1" applyNumberFormat="1" applyFont="1" applyFill="1" applyBorder="1" applyAlignment="1">
      <alignment horizontal="center"/>
    </xf>
    <xf numFmtId="0" fontId="7" fillId="0" borderId="2" xfId="1" applyFont="1" applyBorder="1" applyAlignment="1">
      <alignment horizontal="right"/>
    </xf>
    <xf numFmtId="0" fontId="7" fillId="0" borderId="0" xfId="1" applyFont="1" applyBorder="1" applyAlignment="1">
      <alignment wrapText="1"/>
    </xf>
    <xf numFmtId="0" fontId="6" fillId="3" borderId="3" xfId="1" applyFont="1" applyFill="1" applyBorder="1"/>
    <xf numFmtId="2" fontId="57" fillId="0" borderId="1" xfId="8" applyNumberFormat="1" applyFont="1" applyFill="1"/>
    <xf numFmtId="0" fontId="6" fillId="5" borderId="0" xfId="1" applyFont="1" applyFill="1" applyBorder="1"/>
    <xf numFmtId="0" fontId="7" fillId="6" borderId="3" xfId="1" applyFont="1" applyFill="1" applyBorder="1" applyAlignment="1">
      <alignment wrapText="1"/>
    </xf>
    <xf numFmtId="2" fontId="7" fillId="6" borderId="3" xfId="1" applyNumberFormat="1" applyFont="1" applyFill="1" applyBorder="1"/>
    <xf numFmtId="0" fontId="6" fillId="0" borderId="0" xfId="1" applyFont="1" applyBorder="1" applyAlignment="1">
      <alignment wrapText="1"/>
    </xf>
    <xf numFmtId="2" fontId="6" fillId="3" borderId="3" xfId="1" applyNumberFormat="1" applyFont="1" applyFill="1" applyBorder="1" applyAlignment="1">
      <alignment horizontal="center"/>
    </xf>
    <xf numFmtId="0" fontId="7" fillId="0" borderId="3" xfId="1" applyFont="1" applyBorder="1" applyAlignment="1">
      <alignment wrapText="1"/>
    </xf>
    <xf numFmtId="0" fontId="7" fillId="0" borderId="3" xfId="1" applyFont="1" applyBorder="1" applyAlignment="1">
      <alignment horizontal="center"/>
    </xf>
    <xf numFmtId="0" fontId="6" fillId="5" borderId="0" xfId="1" applyFont="1" applyFill="1" applyAlignment="1">
      <alignment horizontal="center"/>
    </xf>
    <xf numFmtId="0" fontId="41" fillId="5" borderId="0" xfId="0" applyFont="1" applyFill="1" applyAlignment="1">
      <alignment horizontal="center"/>
    </xf>
    <xf numFmtId="2" fontId="7" fillId="10" borderId="3" xfId="1" applyNumberFormat="1" applyFont="1" applyFill="1" applyBorder="1" applyAlignment="1">
      <alignment horizontal="center"/>
    </xf>
    <xf numFmtId="0" fontId="6" fillId="3" borderId="0" xfId="1" applyFont="1" applyFill="1" applyAlignment="1"/>
    <xf numFmtId="0" fontId="7" fillId="0" borderId="3" xfId="1" applyFont="1" applyBorder="1" applyAlignment="1">
      <alignment vertical="center" wrapText="1"/>
    </xf>
    <xf numFmtId="0" fontId="6" fillId="5" borderId="3" xfId="1" applyFont="1" applyFill="1" applyBorder="1" applyAlignment="1">
      <alignment wrapText="1"/>
    </xf>
    <xf numFmtId="0" fontId="6" fillId="5" borderId="3" xfId="1" applyFont="1" applyFill="1" applyBorder="1" applyAlignment="1">
      <alignment horizontal="center" wrapText="1"/>
    </xf>
    <xf numFmtId="0" fontId="6" fillId="5" borderId="0" xfId="1" applyFont="1" applyFill="1" applyAlignment="1">
      <alignment wrapText="1"/>
    </xf>
    <xf numFmtId="0" fontId="7" fillId="5" borderId="0" xfId="1" applyFont="1" applyFill="1" applyBorder="1" applyAlignment="1">
      <alignment wrapText="1"/>
    </xf>
    <xf numFmtId="0" fontId="7" fillId="5" borderId="0" xfId="1" applyFont="1" applyFill="1" applyAlignment="1">
      <alignment horizontal="right"/>
    </xf>
    <xf numFmtId="2" fontId="7" fillId="5" borderId="0" xfId="1" applyNumberFormat="1" applyFont="1" applyFill="1"/>
    <xf numFmtId="2" fontId="6" fillId="5" borderId="0" xfId="1" applyNumberFormat="1" applyFont="1" applyFill="1"/>
    <xf numFmtId="0" fontId="6" fillId="5" borderId="0" xfId="1" applyFont="1" applyFill="1" applyAlignment="1">
      <alignment horizontal="right"/>
    </xf>
    <xf numFmtId="43" fontId="6" fillId="5" borderId="0" xfId="1" applyNumberFormat="1" applyFont="1" applyFill="1"/>
    <xf numFmtId="0" fontId="53" fillId="5" borderId="0" xfId="1" applyFont="1" applyFill="1"/>
    <xf numFmtId="2" fontId="53" fillId="5" borderId="0" xfId="1" applyNumberFormat="1" applyFont="1" applyFill="1"/>
    <xf numFmtId="168" fontId="6" fillId="5" borderId="0" xfId="1" applyNumberFormat="1" applyFont="1" applyFill="1"/>
    <xf numFmtId="0" fontId="59" fillId="0" borderId="0" xfId="1" applyFont="1"/>
    <xf numFmtId="0" fontId="60" fillId="0" borderId="0" xfId="0" applyFont="1"/>
    <xf numFmtId="0" fontId="58" fillId="3" borderId="2" xfId="1" applyFont="1" applyFill="1" applyBorder="1" applyAlignment="1">
      <alignment horizontal="right"/>
    </xf>
    <xf numFmtId="0" fontId="59" fillId="0" borderId="0" xfId="1" applyFont="1" applyBorder="1"/>
    <xf numFmtId="0" fontId="58" fillId="0" borderId="3" xfId="1" applyFont="1" applyBorder="1" applyAlignment="1">
      <alignment horizontal="center" vertical="center"/>
    </xf>
    <xf numFmtId="0" fontId="59" fillId="0" borderId="3" xfId="1" applyFont="1" applyBorder="1" applyAlignment="1">
      <alignment horizontal="center" vertical="center" wrapText="1"/>
    </xf>
    <xf numFmtId="0" fontId="59" fillId="0" borderId="3" xfId="1" applyFont="1" applyBorder="1" applyAlignment="1">
      <alignment horizontal="center"/>
    </xf>
    <xf numFmtId="2" fontId="58" fillId="0" borderId="3" xfId="1" applyNumberFormat="1" applyFont="1" applyBorder="1" applyAlignment="1">
      <alignment horizontal="center"/>
    </xf>
    <xf numFmtId="0" fontId="61" fillId="5" borderId="0" xfId="0" applyFont="1" applyFill="1" applyAlignment="1">
      <alignment horizontal="center"/>
    </xf>
    <xf numFmtId="0" fontId="59" fillId="0" borderId="3" xfId="1" applyFont="1" applyBorder="1"/>
    <xf numFmtId="0" fontId="59" fillId="5" borderId="0" xfId="1" applyFont="1" applyFill="1" applyBorder="1" applyAlignment="1"/>
    <xf numFmtId="0" fontId="59" fillId="5" borderId="0" xfId="1" applyFont="1" applyFill="1"/>
    <xf numFmtId="0" fontId="59" fillId="0" borderId="0" xfId="1" applyFont="1" applyBorder="1" applyAlignment="1"/>
    <xf numFmtId="0" fontId="62" fillId="5" borderId="0" xfId="1" applyFont="1" applyFill="1" applyAlignment="1"/>
    <xf numFmtId="0" fontId="60" fillId="5" borderId="0" xfId="0" applyFont="1" applyFill="1"/>
    <xf numFmtId="0" fontId="62" fillId="5" borderId="0" xfId="1" applyFont="1" applyFill="1" applyAlignment="1">
      <alignment horizontal="right"/>
    </xf>
    <xf numFmtId="0" fontId="62" fillId="5" borderId="0" xfId="1" applyFont="1" applyFill="1"/>
    <xf numFmtId="0" fontId="62" fillId="0" borderId="0" xfId="1" applyFont="1"/>
    <xf numFmtId="10" fontId="60" fillId="0" borderId="0" xfId="0" applyNumberFormat="1" applyFont="1"/>
    <xf numFmtId="0" fontId="60" fillId="0" borderId="0" xfId="0" applyFont="1" applyAlignment="1"/>
    <xf numFmtId="0" fontId="63" fillId="0" borderId="0" xfId="1" applyFont="1"/>
    <xf numFmtId="0" fontId="62" fillId="0" borderId="0" xfId="1" applyFont="1" applyAlignment="1"/>
    <xf numFmtId="0" fontId="62" fillId="5" borderId="0" xfId="1" applyFont="1" applyFill="1" applyAlignment="1">
      <alignment horizontal="center"/>
    </xf>
    <xf numFmtId="1" fontId="62" fillId="5" borderId="0" xfId="1" applyNumberFormat="1" applyFont="1" applyFill="1"/>
    <xf numFmtId="0" fontId="59" fillId="0" borderId="0" xfId="1" applyFont="1" applyFill="1" applyAlignment="1">
      <alignment horizontal="left"/>
    </xf>
    <xf numFmtId="0" fontId="62" fillId="0" borderId="0" xfId="1" applyFont="1" applyBorder="1" applyAlignment="1"/>
    <xf numFmtId="0" fontId="62" fillId="0" borderId="0" xfId="1" applyFont="1" applyBorder="1" applyAlignment="1">
      <alignment horizontal="right"/>
    </xf>
    <xf numFmtId="0" fontId="59" fillId="0" borderId="0" xfId="1" applyFont="1" applyAlignment="1">
      <alignment horizontal="center"/>
    </xf>
    <xf numFmtId="0" fontId="64" fillId="0" borderId="0" xfId="2" applyFont="1"/>
    <xf numFmtId="0" fontId="65" fillId="0" borderId="0" xfId="0" applyFont="1"/>
    <xf numFmtId="0" fontId="64" fillId="0" borderId="0" xfId="3" applyFont="1"/>
    <xf numFmtId="0" fontId="64" fillId="0" borderId="0" xfId="0" applyFont="1"/>
    <xf numFmtId="0" fontId="59" fillId="0" borderId="0" xfId="2" applyFont="1"/>
    <xf numFmtId="0" fontId="59" fillId="0" borderId="0" xfId="2" applyFont="1" applyAlignment="1">
      <alignment horizontal="center"/>
    </xf>
    <xf numFmtId="0" fontId="58" fillId="0" borderId="3" xfId="1" applyFont="1" applyBorder="1" applyAlignment="1">
      <alignment horizontal="center" vertical="center" wrapText="1"/>
    </xf>
    <xf numFmtId="0" fontId="59" fillId="0" borderId="3" xfId="4" applyFont="1" applyBorder="1" applyAlignment="1">
      <alignment horizontal="center" vertical="center" wrapText="1"/>
    </xf>
    <xf numFmtId="0" fontId="59" fillId="0" borderId="3" xfId="1" applyFont="1" applyFill="1" applyBorder="1" applyAlignment="1">
      <alignment horizontal="center" vertical="center" wrapText="1"/>
    </xf>
    <xf numFmtId="0" fontId="59" fillId="0" borderId="3" xfId="1" applyFont="1" applyFill="1" applyBorder="1" applyAlignment="1">
      <alignment horizontal="center"/>
    </xf>
    <xf numFmtId="0" fontId="59" fillId="0" borderId="0" xfId="2" applyFont="1" applyAlignment="1">
      <alignment horizontal="center" vertical="center"/>
    </xf>
    <xf numFmtId="0" fontId="59" fillId="0" borderId="5" xfId="2" applyFont="1" applyBorder="1" applyAlignment="1">
      <alignment horizontal="center" vertical="center"/>
    </xf>
    <xf numFmtId="0" fontId="59" fillId="6" borderId="3" xfId="1" applyFont="1" applyFill="1" applyBorder="1" applyAlignment="1">
      <alignment horizontal="center"/>
    </xf>
    <xf numFmtId="0" fontId="59" fillId="6" borderId="3" xfId="1" applyFont="1" applyFill="1" applyBorder="1" applyAlignment="1">
      <alignment horizontal="left"/>
    </xf>
    <xf numFmtId="2" fontId="59" fillId="6" borderId="3" xfId="1" applyNumberFormat="1" applyFont="1" applyFill="1" applyBorder="1" applyAlignment="1">
      <alignment horizontal="center"/>
    </xf>
    <xf numFmtId="0" fontId="58" fillId="0" borderId="0" xfId="1" applyFont="1" applyAlignment="1">
      <alignment horizontal="center"/>
    </xf>
    <xf numFmtId="0" fontId="59" fillId="5" borderId="5" xfId="1" applyFont="1" applyFill="1" applyBorder="1" applyAlignment="1">
      <alignment horizontal="center"/>
    </xf>
    <xf numFmtId="0" fontId="59" fillId="5" borderId="5" xfId="1" applyFont="1" applyFill="1" applyBorder="1"/>
    <xf numFmtId="2" fontId="59" fillId="5" borderId="5" xfId="1" applyNumberFormat="1" applyFont="1" applyFill="1" applyBorder="1" applyAlignment="1">
      <alignment horizontal="center"/>
    </xf>
    <xf numFmtId="2" fontId="59" fillId="0" borderId="0" xfId="1" applyNumberFormat="1" applyFont="1" applyBorder="1" applyAlignment="1">
      <alignment horizontal="left"/>
    </xf>
    <xf numFmtId="0" fontId="60" fillId="0" borderId="3" xfId="0" applyFont="1" applyBorder="1"/>
    <xf numFmtId="0" fontId="61" fillId="0" borderId="3" xfId="0" applyFont="1" applyBorder="1" applyAlignment="1">
      <alignment horizontal="center"/>
    </xf>
    <xf numFmtId="0" fontId="60" fillId="0" borderId="3" xfId="0" applyFont="1" applyBorder="1" applyAlignment="1">
      <alignment horizontal="center"/>
    </xf>
    <xf numFmtId="2" fontId="60" fillId="0" borderId="3" xfId="0" applyNumberFormat="1" applyFont="1" applyBorder="1" applyAlignment="1">
      <alignment horizontal="center"/>
    </xf>
    <xf numFmtId="2" fontId="61" fillId="0" borderId="3" xfId="0" applyNumberFormat="1" applyFont="1" applyBorder="1" applyAlignment="1">
      <alignment horizontal="center"/>
    </xf>
    <xf numFmtId="9" fontId="60" fillId="0" borderId="3" xfId="0" applyNumberFormat="1" applyFont="1" applyBorder="1" applyAlignment="1">
      <alignment horizontal="center"/>
    </xf>
    <xf numFmtId="0" fontId="58" fillId="0" borderId="3" xfId="1" applyFont="1" applyBorder="1"/>
    <xf numFmtId="0" fontId="59" fillId="5" borderId="3" xfId="1" applyFont="1" applyFill="1" applyBorder="1" applyAlignment="1">
      <alignment horizontal="center"/>
    </xf>
    <xf numFmtId="0" fontId="59" fillId="5" borderId="3" xfId="1" applyFont="1" applyFill="1" applyBorder="1"/>
    <xf numFmtId="2" fontId="59" fillId="5" borderId="3" xfId="1" applyNumberFormat="1" applyFont="1" applyFill="1" applyBorder="1" applyAlignment="1">
      <alignment horizontal="center"/>
    </xf>
    <xf numFmtId="0" fontId="59" fillId="0" borderId="0" xfId="1" applyFont="1" applyBorder="1" applyAlignment="1">
      <alignment horizontal="left"/>
    </xf>
    <xf numFmtId="0" fontId="58" fillId="6" borderId="3" xfId="1" applyFont="1" applyFill="1" applyBorder="1" applyAlignment="1"/>
    <xf numFmtId="0" fontId="59" fillId="6" borderId="3" xfId="1" applyFont="1" applyFill="1" applyBorder="1"/>
    <xf numFmtId="2" fontId="58" fillId="6" borderId="3" xfId="1" applyNumberFormat="1" applyFont="1" applyFill="1" applyBorder="1" applyAlignment="1">
      <alignment horizontal="center"/>
    </xf>
    <xf numFmtId="2" fontId="58" fillId="0" borderId="0" xfId="1" applyNumberFormat="1" applyFont="1" applyBorder="1" applyAlignment="1">
      <alignment horizontal="left"/>
    </xf>
    <xf numFmtId="0" fontId="58" fillId="5" borderId="0" xfId="1" applyFont="1" applyFill="1" applyAlignment="1"/>
    <xf numFmtId="0" fontId="59" fillId="5" borderId="0" xfId="1" applyFont="1" applyFill="1" applyAlignment="1"/>
    <xf numFmtId="0" fontId="59" fillId="0" borderId="0" xfId="1" applyFont="1" applyFill="1" applyBorder="1" applyAlignment="1"/>
    <xf numFmtId="0" fontId="60" fillId="0" borderId="0" xfId="0" applyFont="1" applyBorder="1"/>
    <xf numFmtId="0" fontId="58" fillId="5" borderId="3" xfId="1" applyFont="1" applyFill="1" applyBorder="1" applyAlignment="1">
      <alignment horizontal="center" vertical="center"/>
    </xf>
    <xf numFmtId="0" fontId="58" fillId="5" borderId="3" xfId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wrapText="1"/>
    </xf>
    <xf numFmtId="0" fontId="59" fillId="5" borderId="3" xfId="1" applyFont="1" applyFill="1" applyBorder="1" applyAlignment="1"/>
    <xf numFmtId="0" fontId="60" fillId="5" borderId="3" xfId="0" applyFont="1" applyFill="1" applyBorder="1"/>
    <xf numFmtId="0" fontId="66" fillId="5" borderId="3" xfId="0" applyFont="1" applyFill="1" applyBorder="1" applyAlignment="1"/>
    <xf numFmtId="0" fontId="67" fillId="5" borderId="3" xfId="0" applyFont="1" applyFill="1" applyBorder="1" applyAlignment="1">
      <alignment horizontal="center"/>
    </xf>
    <xf numFmtId="0" fontId="68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69" fillId="5" borderId="3" xfId="1" applyFont="1" applyFill="1" applyBorder="1" applyAlignment="1"/>
    <xf numFmtId="0" fontId="66" fillId="5" borderId="3" xfId="0" applyFont="1" applyFill="1" applyBorder="1"/>
    <xf numFmtId="0" fontId="59" fillId="0" borderId="0" xfId="1" applyFont="1" applyFill="1" applyAlignment="1"/>
    <xf numFmtId="0" fontId="59" fillId="6" borderId="3" xfId="1" applyFont="1" applyFill="1" applyBorder="1" applyAlignment="1"/>
    <xf numFmtId="0" fontId="67" fillId="6" borderId="3" xfId="0" applyFont="1" applyFill="1" applyBorder="1" applyAlignment="1">
      <alignment horizontal="center"/>
    </xf>
    <xf numFmtId="0" fontId="58" fillId="6" borderId="3" xfId="1" applyFont="1" applyFill="1" applyBorder="1" applyAlignment="1">
      <alignment horizontal="center"/>
    </xf>
    <xf numFmtId="0" fontId="59" fillId="5" borderId="0" xfId="1" applyFont="1" applyFill="1" applyBorder="1" applyAlignment="1">
      <alignment horizontal="center"/>
    </xf>
    <xf numFmtId="0" fontId="60" fillId="0" borderId="0" xfId="0" applyFont="1" applyFill="1"/>
    <xf numFmtId="0" fontId="59" fillId="0" borderId="0" xfId="1" applyFont="1" applyFill="1" applyBorder="1"/>
    <xf numFmtId="0" fontId="61" fillId="0" borderId="2" xfId="0" applyFont="1" applyBorder="1"/>
    <xf numFmtId="0" fontId="58" fillId="0" borderId="3" xfId="4" applyFont="1" applyBorder="1" applyAlignment="1">
      <alignment horizontal="center" vertical="center" wrapText="1"/>
    </xf>
    <xf numFmtId="0" fontId="59" fillId="0" borderId="3" xfId="4" applyFont="1" applyBorder="1" applyAlignment="1">
      <alignment horizontal="center"/>
    </xf>
    <xf numFmtId="0" fontId="59" fillId="0" borderId="3" xfId="1" applyFont="1" applyBorder="1" applyAlignment="1">
      <alignment horizontal="left"/>
    </xf>
    <xf numFmtId="2" fontId="59" fillId="0" borderId="3" xfId="1" applyNumberFormat="1" applyFont="1" applyBorder="1" applyAlignment="1">
      <alignment horizontal="center"/>
    </xf>
    <xf numFmtId="2" fontId="59" fillId="0" borderId="3" xfId="4" applyNumberFormat="1" applyFont="1" applyBorder="1" applyAlignment="1">
      <alignment horizontal="center"/>
    </xf>
    <xf numFmtId="0" fontId="59" fillId="0" borderId="3" xfId="1" applyFont="1" applyBorder="1" applyAlignment="1">
      <alignment horizontal="left" wrapText="1"/>
    </xf>
    <xf numFmtId="2" fontId="59" fillId="0" borderId="3" xfId="1" applyNumberFormat="1" applyFont="1" applyBorder="1"/>
    <xf numFmtId="2" fontId="58" fillId="8" borderId="3" xfId="1" applyNumberFormat="1" applyFont="1" applyFill="1" applyBorder="1" applyAlignment="1">
      <alignment horizontal="center"/>
    </xf>
    <xf numFmtId="0" fontId="58" fillId="0" borderId="0" xfId="1" applyFont="1" applyBorder="1"/>
    <xf numFmtId="2" fontId="59" fillId="0" borderId="0" xfId="1" applyNumberFormat="1" applyFont="1" applyBorder="1"/>
    <xf numFmtId="2" fontId="58" fillId="5" borderId="0" xfId="1" applyNumberFormat="1" applyFont="1" applyFill="1" applyBorder="1" applyAlignment="1">
      <alignment horizontal="center"/>
    </xf>
    <xf numFmtId="9" fontId="60" fillId="0" borderId="0" xfId="0" applyNumberFormat="1" applyFont="1"/>
    <xf numFmtId="2" fontId="59" fillId="5" borderId="0" xfId="1" applyNumberFormat="1" applyFont="1" applyFill="1" applyBorder="1"/>
    <xf numFmtId="0" fontId="58" fillId="7" borderId="0" xfId="1" applyFont="1" applyFill="1"/>
    <xf numFmtId="0" fontId="59" fillId="11" borderId="0" xfId="1" applyFont="1" applyFill="1"/>
    <xf numFmtId="0" fontId="59" fillId="0" borderId="0" xfId="1" applyFont="1" applyBorder="1" applyAlignment="1">
      <alignment horizontal="center"/>
    </xf>
    <xf numFmtId="0" fontId="59" fillId="0" borderId="0" xfId="1" applyFont="1" applyFill="1"/>
    <xf numFmtId="0" fontId="59" fillId="0" borderId="0" xfId="1" applyFont="1" applyFill="1" applyAlignment="1">
      <alignment horizontal="center"/>
    </xf>
    <xf numFmtId="0" fontId="58" fillId="0" borderId="2" xfId="1" applyFont="1" applyFill="1" applyBorder="1" applyAlignment="1">
      <alignment horizontal="right"/>
    </xf>
    <xf numFmtId="0" fontId="58" fillId="0" borderId="3" xfId="1" applyFont="1" applyFill="1" applyBorder="1" applyAlignment="1">
      <alignment horizontal="center" vertical="center"/>
    </xf>
    <xf numFmtId="0" fontId="58" fillId="0" borderId="3" xfId="1" applyFont="1" applyFill="1" applyBorder="1" applyAlignment="1">
      <alignment horizontal="center" vertical="center" wrapText="1"/>
    </xf>
    <xf numFmtId="0" fontId="59" fillId="0" borderId="3" xfId="1" applyFont="1" applyFill="1" applyBorder="1"/>
    <xf numFmtId="3" fontId="59" fillId="0" borderId="3" xfId="5" applyNumberFormat="1" applyFont="1" applyFill="1" applyBorder="1" applyAlignment="1">
      <alignment horizontal="center"/>
    </xf>
    <xf numFmtId="165" fontId="58" fillId="0" borderId="3" xfId="6" applyNumberFormat="1" applyFont="1" applyFill="1" applyBorder="1" applyAlignment="1">
      <alignment horizontal="left"/>
    </xf>
    <xf numFmtId="0" fontId="59" fillId="0" borderId="3" xfId="7" applyFont="1" applyFill="1" applyBorder="1" applyAlignment="1">
      <alignment horizontal="center"/>
    </xf>
    <xf numFmtId="166" fontId="58" fillId="0" borderId="3" xfId="6" applyNumberFormat="1" applyFont="1" applyFill="1" applyBorder="1"/>
    <xf numFmtId="167" fontId="58" fillId="0" borderId="3" xfId="6" applyNumberFormat="1" applyFont="1" applyFill="1" applyBorder="1"/>
    <xf numFmtId="0" fontId="60" fillId="6" borderId="3" xfId="0" applyFont="1" applyFill="1" applyBorder="1"/>
    <xf numFmtId="43" fontId="58" fillId="6" borderId="3" xfId="1" applyNumberFormat="1" applyFont="1" applyFill="1" applyBorder="1" applyAlignment="1">
      <alignment horizontal="left"/>
    </xf>
    <xf numFmtId="0" fontId="59" fillId="0" borderId="0" xfId="1" applyFont="1" applyFill="1" applyBorder="1" applyAlignment="1">
      <alignment horizontal="center"/>
    </xf>
    <xf numFmtId="0" fontId="63" fillId="5" borderId="0" xfId="1" applyFont="1" applyFill="1" applyAlignment="1">
      <alignment horizontal="right"/>
    </xf>
    <xf numFmtId="0" fontId="63" fillId="5" borderId="0" xfId="1" applyFont="1" applyFill="1" applyAlignment="1"/>
    <xf numFmtId="0" fontId="63" fillId="5" borderId="0" xfId="1" applyFont="1" applyFill="1"/>
    <xf numFmtId="0" fontId="70" fillId="5" borderId="0" xfId="1" applyFont="1" applyFill="1" applyAlignment="1"/>
    <xf numFmtId="0" fontId="71" fillId="0" borderId="2" xfId="0" applyFont="1" applyBorder="1" applyAlignment="1">
      <alignment horizontal="right"/>
    </xf>
    <xf numFmtId="0" fontId="58" fillId="0" borderId="0" xfId="1" applyFont="1" applyFill="1" applyAlignment="1">
      <alignment horizontal="center"/>
    </xf>
    <xf numFmtId="0" fontId="71" fillId="0" borderId="0" xfId="0" applyFont="1" applyAlignment="1">
      <alignment horizontal="right"/>
    </xf>
    <xf numFmtId="0" fontId="58" fillId="0" borderId="0" xfId="1" applyFont="1" applyFill="1" applyAlignment="1">
      <alignment horizontal="left"/>
    </xf>
    <xf numFmtId="0" fontId="58" fillId="0" borderId="0" xfId="1" applyFont="1" applyFill="1" applyAlignment="1"/>
    <xf numFmtId="0" fontId="59" fillId="0" borderId="0" xfId="1" applyFont="1" applyFill="1" applyAlignment="1">
      <alignment wrapText="1"/>
    </xf>
    <xf numFmtId="0" fontId="70" fillId="0" borderId="0" xfId="1" applyFont="1" applyFill="1" applyAlignment="1"/>
    <xf numFmtId="0" fontId="72" fillId="5" borderId="0" xfId="0" applyFont="1" applyFill="1"/>
    <xf numFmtId="0" fontId="61" fillId="0" borderId="0" xfId="0" applyFont="1"/>
    <xf numFmtId="0" fontId="58" fillId="6" borderId="0" xfId="1" applyFont="1" applyFill="1" applyAlignment="1"/>
    <xf numFmtId="0" fontId="70" fillId="0" borderId="0" xfId="1" applyFont="1" applyFill="1" applyBorder="1" applyAlignment="1"/>
    <xf numFmtId="0" fontId="73" fillId="0" borderId="0" xfId="1" applyFont="1" applyFill="1" applyAlignment="1"/>
    <xf numFmtId="0" fontId="58" fillId="0" borderId="0" xfId="1" applyFont="1" applyFill="1"/>
    <xf numFmtId="0" fontId="61" fillId="6" borderId="0" xfId="0" applyFont="1" applyFill="1"/>
    <xf numFmtId="0" fontId="58" fillId="6" borderId="0" xfId="1" applyFont="1" applyFill="1"/>
    <xf numFmtId="0" fontId="58" fillId="5" borderId="0" xfId="1" applyFont="1" applyFill="1" applyBorder="1" applyAlignment="1"/>
    <xf numFmtId="0" fontId="58" fillId="4" borderId="0" xfId="1" applyFont="1" applyFill="1"/>
    <xf numFmtId="0" fontId="58" fillId="0" borderId="2" xfId="2" applyFont="1" applyBorder="1"/>
    <xf numFmtId="0" fontId="58" fillId="0" borderId="3" xfId="1" applyFont="1" applyBorder="1" applyAlignment="1">
      <alignment horizontal="center" wrapText="1"/>
    </xf>
    <xf numFmtId="0" fontId="59" fillId="0" borderId="3" xfId="1" applyFont="1" applyBorder="1" applyAlignment="1">
      <alignment horizontal="center" wrapText="1"/>
    </xf>
    <xf numFmtId="4" fontId="59" fillId="0" borderId="3" xfId="1" applyNumberFormat="1" applyFont="1" applyFill="1" applyBorder="1" applyAlignment="1">
      <alignment horizontal="center" wrapText="1"/>
    </xf>
    <xf numFmtId="0" fontId="59" fillId="0" borderId="0" xfId="1" applyFont="1" applyBorder="1" applyAlignment="1">
      <alignment horizontal="center" wrapText="1"/>
    </xf>
    <xf numFmtId="0" fontId="59" fillId="0" borderId="3" xfId="1" applyFont="1" applyFill="1" applyBorder="1" applyAlignment="1">
      <alignment horizontal="center" wrapText="1"/>
    </xf>
    <xf numFmtId="2" fontId="59" fillId="5" borderId="0" xfId="1" applyNumberFormat="1" applyFont="1" applyFill="1" applyBorder="1" applyAlignment="1">
      <alignment horizontal="center"/>
    </xf>
    <xf numFmtId="0" fontId="58" fillId="6" borderId="3" xfId="1" applyFont="1" applyFill="1" applyBorder="1"/>
    <xf numFmtId="2" fontId="58" fillId="0" borderId="0" xfId="1" applyNumberFormat="1" applyFont="1" applyBorder="1" applyAlignment="1">
      <alignment horizontal="center"/>
    </xf>
    <xf numFmtId="2" fontId="59" fillId="0" borderId="0" xfId="1" applyNumberFormat="1" applyFont="1" applyBorder="1" applyAlignment="1">
      <alignment horizontal="center"/>
    </xf>
    <xf numFmtId="0" fontId="59" fillId="5" borderId="0" xfId="1" applyFont="1" applyFill="1" applyBorder="1"/>
    <xf numFmtId="0" fontId="58" fillId="0" borderId="0" xfId="1" applyFont="1" applyBorder="1" applyAlignment="1">
      <alignment horizontal="left"/>
    </xf>
    <xf numFmtId="0" fontId="58" fillId="5" borderId="0" xfId="1" applyFont="1" applyFill="1" applyAlignment="1">
      <alignment horizontal="left"/>
    </xf>
    <xf numFmtId="0" fontId="59" fillId="0" borderId="3" xfId="1" applyFont="1" applyBorder="1" applyAlignment="1">
      <alignment wrapText="1"/>
    </xf>
    <xf numFmtId="2" fontId="58" fillId="3" borderId="3" xfId="1" applyNumberFormat="1" applyFont="1" applyFill="1" applyBorder="1" applyAlignment="1">
      <alignment horizontal="center"/>
    </xf>
    <xf numFmtId="2" fontId="59" fillId="4" borderId="3" xfId="1" applyNumberFormat="1" applyFont="1" applyFill="1" applyBorder="1" applyAlignment="1">
      <alignment horizontal="center"/>
    </xf>
    <xf numFmtId="2" fontId="58" fillId="9" borderId="3" xfId="1" applyNumberFormat="1" applyFont="1" applyFill="1" applyBorder="1" applyAlignment="1">
      <alignment horizontal="center"/>
    </xf>
    <xf numFmtId="0" fontId="58" fillId="0" borderId="2" xfId="1" applyFont="1" applyBorder="1" applyAlignment="1">
      <alignment horizontal="right"/>
    </xf>
    <xf numFmtId="0" fontId="58" fillId="0" borderId="0" xfId="1" applyFont="1" applyBorder="1" applyAlignment="1">
      <alignment wrapText="1"/>
    </xf>
    <xf numFmtId="0" fontId="59" fillId="3" borderId="3" xfId="1" applyFont="1" applyFill="1" applyBorder="1"/>
    <xf numFmtId="2" fontId="74" fillId="0" borderId="1" xfId="8" applyNumberFormat="1" applyFont="1" applyFill="1"/>
    <xf numFmtId="0" fontId="58" fillId="6" borderId="3" xfId="1" applyFont="1" applyFill="1" applyBorder="1" applyAlignment="1">
      <alignment wrapText="1"/>
    </xf>
    <xf numFmtId="2" fontId="58" fillId="6" borderId="3" xfId="1" applyNumberFormat="1" applyFont="1" applyFill="1" applyBorder="1"/>
    <xf numFmtId="0" fontId="59" fillId="0" borderId="0" xfId="1" applyFont="1" applyBorder="1" applyAlignment="1">
      <alignment wrapText="1"/>
    </xf>
    <xf numFmtId="2" fontId="59" fillId="3" borderId="3" xfId="1" applyNumberFormat="1" applyFont="1" applyFill="1" applyBorder="1" applyAlignment="1">
      <alignment horizontal="center"/>
    </xf>
    <xf numFmtId="0" fontId="58" fillId="0" borderId="3" xfId="1" applyFont="1" applyBorder="1" applyAlignment="1">
      <alignment wrapText="1"/>
    </xf>
    <xf numFmtId="0" fontId="58" fillId="0" borderId="3" xfId="1" applyFont="1" applyBorder="1" applyAlignment="1">
      <alignment horizontal="center"/>
    </xf>
    <xf numFmtId="0" fontId="59" fillId="5" borderId="0" xfId="1" applyFont="1" applyFill="1" applyAlignment="1">
      <alignment horizontal="center"/>
    </xf>
    <xf numFmtId="0" fontId="60" fillId="5" borderId="0" xfId="0" applyFont="1" applyFill="1" applyAlignment="1">
      <alignment horizontal="center"/>
    </xf>
    <xf numFmtId="1" fontId="58" fillId="10" borderId="3" xfId="1" applyNumberFormat="1" applyFont="1" applyFill="1" applyBorder="1" applyAlignment="1">
      <alignment horizontal="center"/>
    </xf>
    <xf numFmtId="0" fontId="59" fillId="3" borderId="0" xfId="1" applyFont="1" applyFill="1" applyAlignment="1"/>
    <xf numFmtId="0" fontId="58" fillId="5" borderId="0" xfId="1" applyFont="1" applyFill="1"/>
    <xf numFmtId="0" fontId="58" fillId="0" borderId="3" xfId="1" applyFont="1" applyBorder="1" applyAlignment="1">
      <alignment vertical="center" wrapText="1"/>
    </xf>
    <xf numFmtId="0" fontId="59" fillId="5" borderId="3" xfId="1" applyFont="1" applyFill="1" applyBorder="1" applyAlignment="1">
      <alignment wrapText="1"/>
    </xf>
    <xf numFmtId="0" fontId="59" fillId="5" borderId="3" xfId="1" applyFont="1" applyFill="1" applyBorder="1" applyAlignment="1">
      <alignment horizontal="center" wrapText="1"/>
    </xf>
    <xf numFmtId="1" fontId="59" fillId="5" borderId="3" xfId="1" applyNumberFormat="1" applyFont="1" applyFill="1" applyBorder="1" applyAlignment="1">
      <alignment horizontal="center"/>
    </xf>
    <xf numFmtId="0" fontId="59" fillId="5" borderId="0" xfId="1" applyFont="1" applyFill="1" applyAlignment="1">
      <alignment wrapText="1"/>
    </xf>
    <xf numFmtId="0" fontId="58" fillId="5" borderId="0" xfId="1" applyFont="1" applyFill="1" applyAlignment="1">
      <alignment horizontal="left" wrapText="1"/>
    </xf>
    <xf numFmtId="0" fontId="59" fillId="0" borderId="0" xfId="1" applyFont="1" applyAlignment="1"/>
    <xf numFmtId="0" fontId="58" fillId="5" borderId="0" xfId="1" applyFont="1" applyFill="1" applyBorder="1" applyAlignment="1">
      <alignment wrapText="1"/>
    </xf>
    <xf numFmtId="0" fontId="58" fillId="5" borderId="0" xfId="1" applyFont="1" applyFill="1" applyAlignment="1">
      <alignment horizontal="right"/>
    </xf>
    <xf numFmtId="2" fontId="58" fillId="5" borderId="0" xfId="1" applyNumberFormat="1" applyFont="1" applyFill="1"/>
    <xf numFmtId="2" fontId="59" fillId="5" borderId="0" xfId="1" applyNumberFormat="1" applyFont="1" applyFill="1"/>
    <xf numFmtId="0" fontId="59" fillId="5" borderId="0" xfId="1" applyFont="1" applyFill="1" applyAlignment="1">
      <alignment horizontal="right"/>
    </xf>
    <xf numFmtId="43" fontId="59" fillId="5" borderId="0" xfId="1" applyNumberFormat="1" applyFont="1" applyFill="1"/>
    <xf numFmtId="0" fontId="70" fillId="5" borderId="0" xfId="1" applyFont="1" applyFill="1"/>
    <xf numFmtId="2" fontId="70" fillId="5" borderId="0" xfId="1" applyNumberFormat="1" applyFont="1" applyFill="1"/>
    <xf numFmtId="168" fontId="59" fillId="5" borderId="0" xfId="1" applyNumberFormat="1" applyFont="1" applyFill="1"/>
    <xf numFmtId="0" fontId="53" fillId="4" borderId="3" xfId="1" applyFont="1" applyFill="1" applyBorder="1" applyAlignment="1">
      <alignment wrapText="1"/>
    </xf>
    <xf numFmtId="0" fontId="70" fillId="4" borderId="3" xfId="1" applyFont="1" applyFill="1" applyBorder="1" applyAlignment="1">
      <alignment wrapText="1"/>
    </xf>
    <xf numFmtId="0" fontId="7" fillId="0" borderId="0" xfId="1" applyFont="1" applyAlignment="1"/>
    <xf numFmtId="0" fontId="58" fillId="0" borderId="0" xfId="1" applyFont="1" applyAlignment="1"/>
    <xf numFmtId="0" fontId="75" fillId="0" borderId="0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7" fillId="0" borderId="0" xfId="0" applyFont="1" applyBorder="1"/>
    <xf numFmtId="0" fontId="76" fillId="0" borderId="0" xfId="0" applyFont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78" fillId="0" borderId="9" xfId="0" applyFont="1" applyBorder="1"/>
    <xf numFmtId="0" fontId="79" fillId="0" borderId="4" xfId="0" applyFont="1" applyBorder="1"/>
    <xf numFmtId="0" fontId="79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78" fillId="0" borderId="11" xfId="0" applyFont="1" applyBorder="1"/>
    <xf numFmtId="0" fontId="7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9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78" fillId="0" borderId="15" xfId="0" applyFont="1" applyBorder="1"/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0" fillId="0" borderId="0" xfId="0" applyFont="1" applyAlignment="1">
      <alignment horizontal="left"/>
    </xf>
    <xf numFmtId="0" fontId="80" fillId="0" borderId="0" xfId="0" applyFont="1"/>
    <xf numFmtId="0" fontId="75" fillId="0" borderId="0" xfId="0" applyFont="1"/>
    <xf numFmtId="0" fontId="67" fillId="0" borderId="0" xfId="0" applyFont="1"/>
    <xf numFmtId="0" fontId="67" fillId="0" borderId="11" xfId="0" applyFont="1" applyBorder="1"/>
    <xf numFmtId="0" fontId="3" fillId="0" borderId="0" xfId="0" applyFont="1"/>
    <xf numFmtId="169" fontId="3" fillId="0" borderId="0" xfId="0" applyNumberFormat="1" applyFont="1"/>
    <xf numFmtId="169" fontId="3" fillId="0" borderId="3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/>
    <xf numFmtId="0" fontId="44" fillId="0" borderId="0" xfId="9" applyFont="1" applyProtection="1">
      <protection locked="0"/>
    </xf>
    <xf numFmtId="0" fontId="44" fillId="0" borderId="0" xfId="9" applyFont="1" applyAlignment="1" applyProtection="1">
      <alignment horizontal="center"/>
      <protection locked="0"/>
    </xf>
    <xf numFmtId="0" fontId="6" fillId="5" borderId="0" xfId="1" applyFont="1" applyFill="1" applyAlignment="1">
      <alignment horizontal="left" wrapText="1"/>
    </xf>
    <xf numFmtId="0" fontId="6" fillId="0" borderId="0" xfId="1" applyFont="1"/>
    <xf numFmtId="0" fontId="6" fillId="5" borderId="0" xfId="1" applyFont="1" applyFill="1"/>
    <xf numFmtId="0" fontId="6" fillId="0" borderId="0" xfId="1" applyFont="1" applyFill="1"/>
    <xf numFmtId="0" fontId="6" fillId="0" borderId="0" xfId="1" applyFont="1" applyFill="1" applyBorder="1"/>
    <xf numFmtId="0" fontId="6" fillId="0" borderId="0" xfId="1" applyFont="1" applyFill="1" applyAlignment="1">
      <alignment horizontal="left" wrapText="1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7" fillId="7" borderId="0" xfId="1" applyFont="1" applyFill="1"/>
    <xf numFmtId="0" fontId="6" fillId="5" borderId="0" xfId="1" applyFont="1" applyFill="1" applyAlignment="1">
      <alignment horizontal="left"/>
    </xf>
    <xf numFmtId="0" fontId="6" fillId="4" borderId="0" xfId="1" applyFont="1" applyFill="1" applyAlignment="1">
      <alignment horizontal="left"/>
    </xf>
    <xf numFmtId="2" fontId="6" fillId="0" borderId="4" xfId="1" applyNumberFormat="1" applyFont="1" applyBorder="1" applyAlignment="1">
      <alignment horizontal="center"/>
    </xf>
    <xf numFmtId="2" fontId="6" fillId="0" borderId="5" xfId="1" applyNumberFormat="1" applyFont="1" applyBorder="1" applyAlignment="1">
      <alignment horizontal="center"/>
    </xf>
    <xf numFmtId="2" fontId="6" fillId="6" borderId="4" xfId="1" applyNumberFormat="1" applyFont="1" applyFill="1" applyBorder="1" applyAlignment="1">
      <alignment horizontal="center"/>
    </xf>
    <xf numFmtId="2" fontId="6" fillId="6" borderId="5" xfId="1" applyNumberFormat="1" applyFont="1" applyFill="1" applyBorder="1" applyAlignment="1">
      <alignment horizontal="center"/>
    </xf>
    <xf numFmtId="0" fontId="6" fillId="0" borderId="0" xfId="2" applyFont="1"/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45" fillId="0" borderId="0" xfId="0" applyFont="1"/>
    <xf numFmtId="0" fontId="7" fillId="0" borderId="0" xfId="1" applyFont="1"/>
    <xf numFmtId="0" fontId="6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center" wrapText="1"/>
    </xf>
    <xf numFmtId="0" fontId="45" fillId="5" borderId="0" xfId="0" applyFont="1" applyFill="1"/>
    <xf numFmtId="0" fontId="59" fillId="0" borderId="4" xfId="1" applyFont="1" applyBorder="1" applyAlignment="1">
      <alignment horizontal="center" vertical="center"/>
    </xf>
    <xf numFmtId="0" fontId="59" fillId="0" borderId="5" xfId="1" applyFont="1" applyBorder="1" applyAlignment="1">
      <alignment horizontal="center" vertical="center"/>
    </xf>
    <xf numFmtId="2" fontId="59" fillId="0" borderId="4" xfId="1" applyNumberFormat="1" applyFont="1" applyBorder="1" applyAlignment="1">
      <alignment horizontal="center"/>
    </xf>
    <xf numFmtId="2" fontId="59" fillId="0" borderId="5" xfId="1" applyNumberFormat="1" applyFont="1" applyBorder="1" applyAlignment="1">
      <alignment horizontal="center"/>
    </xf>
    <xf numFmtId="0" fontId="59" fillId="0" borderId="4" xfId="1" applyFont="1" applyBorder="1" applyAlignment="1">
      <alignment horizontal="center"/>
    </xf>
    <xf numFmtId="0" fontId="59" fillId="0" borderId="5" xfId="1" applyFont="1" applyBorder="1" applyAlignment="1">
      <alignment horizontal="center"/>
    </xf>
    <xf numFmtId="0" fontId="58" fillId="0" borderId="0" xfId="1" applyFont="1" applyAlignment="1">
      <alignment horizontal="center"/>
    </xf>
    <xf numFmtId="0" fontId="59" fillId="0" borderId="0" xfId="1" applyFont="1" applyBorder="1" applyAlignment="1">
      <alignment horizontal="left" wrapText="1"/>
    </xf>
    <xf numFmtId="0" fontId="58" fillId="0" borderId="0" xfId="1" applyFont="1" applyBorder="1" applyAlignment="1">
      <alignment horizontal="left" wrapText="1"/>
    </xf>
    <xf numFmtId="0" fontId="64" fillId="5" borderId="0" xfId="0" applyFont="1" applyFill="1"/>
    <xf numFmtId="2" fontId="59" fillId="6" borderId="4" xfId="1" applyNumberFormat="1" applyFont="1" applyFill="1" applyBorder="1" applyAlignment="1">
      <alignment horizontal="center"/>
    </xf>
    <xf numFmtId="2" fontId="59" fillId="6" borderId="5" xfId="1" applyNumberFormat="1" applyFont="1" applyFill="1" applyBorder="1" applyAlignment="1">
      <alignment horizontal="center"/>
    </xf>
    <xf numFmtId="0" fontId="59" fillId="0" borderId="0" xfId="2" applyFont="1"/>
    <xf numFmtId="0" fontId="64" fillId="0" borderId="0" xfId="0" applyFont="1"/>
    <xf numFmtId="0" fontId="58" fillId="0" borderId="0" xfId="1" applyFont="1" applyAlignment="1">
      <alignment horizontal="left"/>
    </xf>
    <xf numFmtId="0" fontId="59" fillId="0" borderId="0" xfId="1" applyFont="1" applyFill="1"/>
    <xf numFmtId="0" fontId="59" fillId="0" borderId="0" xfId="1" applyFont="1" applyFill="1" applyAlignment="1">
      <alignment horizontal="left" wrapText="1"/>
    </xf>
    <xf numFmtId="0" fontId="59" fillId="5" borderId="0" xfId="1" applyFont="1" applyFill="1"/>
    <xf numFmtId="0" fontId="58" fillId="7" borderId="0" xfId="1" applyFont="1" applyFill="1"/>
    <xf numFmtId="0" fontId="59" fillId="5" borderId="0" xfId="1" applyFont="1" applyFill="1" applyAlignment="1">
      <alignment horizontal="left"/>
    </xf>
    <xf numFmtId="0" fontId="59" fillId="0" borderId="0" xfId="1" applyFont="1" applyAlignment="1">
      <alignment horizontal="left"/>
    </xf>
    <xf numFmtId="0" fontId="59" fillId="5" borderId="0" xfId="1" applyFont="1" applyFill="1" applyAlignment="1">
      <alignment horizontal="left" wrapText="1"/>
    </xf>
    <xf numFmtId="0" fontId="58" fillId="5" borderId="0" xfId="1" applyFont="1" applyFill="1" applyAlignment="1">
      <alignment horizontal="left" wrapText="1"/>
    </xf>
    <xf numFmtId="0" fontId="59" fillId="0" borderId="0" xfId="1" applyFont="1" applyFill="1" applyBorder="1"/>
    <xf numFmtId="0" fontId="16" fillId="5" borderId="0" xfId="1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12" fillId="5" borderId="0" xfId="0" applyFont="1" applyFill="1" applyAlignment="1">
      <alignment horizontal="left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2" fillId="0" borderId="0" xfId="0" applyFont="1" applyFill="1"/>
    <xf numFmtId="0" fontId="17" fillId="0" borderId="0" xfId="0" applyFont="1" applyFill="1" applyAlignment="1">
      <alignment horizontal="center"/>
    </xf>
    <xf numFmtId="0" fontId="6" fillId="0" borderId="0" xfId="9" applyFont="1"/>
    <xf numFmtId="0" fontId="6" fillId="0" borderId="0" xfId="9" applyFont="1" applyAlignment="1">
      <alignment horizontal="center"/>
    </xf>
    <xf numFmtId="0" fontId="7" fillId="0" borderId="0" xfId="9" applyFont="1"/>
    <xf numFmtId="0" fontId="7" fillId="0" borderId="0" xfId="9" applyFont="1" applyAlignment="1">
      <alignment horizontal="center" wrapText="1"/>
    </xf>
    <xf numFmtId="0" fontId="7" fillId="0" borderId="0" xfId="9" applyFont="1" applyAlignment="1">
      <alignment wrapText="1"/>
    </xf>
    <xf numFmtId="0" fontId="7" fillId="0" borderId="0" xfId="9" applyFont="1" applyAlignment="1">
      <alignment horizontal="center"/>
    </xf>
    <xf numFmtId="0" fontId="7" fillId="0" borderId="0" xfId="9" applyFont="1" applyAlignment="1">
      <alignment horizontal="center"/>
    </xf>
    <xf numFmtId="0" fontId="43" fillId="0" borderId="4" xfId="9" applyFont="1" applyBorder="1" applyAlignment="1">
      <alignment horizontal="center"/>
    </xf>
    <xf numFmtId="0" fontId="43" fillId="0" borderId="4" xfId="9" applyFont="1" applyBorder="1" applyAlignment="1">
      <alignment horizontal="center"/>
    </xf>
    <xf numFmtId="0" fontId="43" fillId="0" borderId="4" xfId="9" applyFont="1" applyBorder="1" applyAlignment="1">
      <alignment horizontal="center" vertical="center" wrapText="1"/>
    </xf>
    <xf numFmtId="0" fontId="43" fillId="12" borderId="4" xfId="9" applyFont="1" applyFill="1" applyBorder="1" applyAlignment="1">
      <alignment horizontal="center" vertical="center" wrapText="1"/>
    </xf>
    <xf numFmtId="0" fontId="43" fillId="13" borderId="4" xfId="9" applyFont="1" applyFill="1" applyBorder="1" applyAlignment="1">
      <alignment horizontal="center" vertical="center" wrapText="1"/>
    </xf>
    <xf numFmtId="0" fontId="44" fillId="0" borderId="4" xfId="9" applyFont="1" applyBorder="1" applyAlignment="1">
      <alignment horizontal="center" vertical="center" wrapText="1"/>
    </xf>
    <xf numFmtId="0" fontId="6" fillId="0" borderId="4" xfId="9" applyFont="1" applyBorder="1" applyAlignment="1">
      <alignment horizontal="center" vertical="center" wrapText="1"/>
    </xf>
    <xf numFmtId="0" fontId="43" fillId="0" borderId="5" xfId="9" applyFont="1" applyBorder="1" applyAlignment="1">
      <alignment horizontal="center"/>
    </xf>
    <xf numFmtId="0" fontId="43" fillId="0" borderId="5" xfId="9" applyFont="1" applyBorder="1" applyAlignment="1">
      <alignment horizontal="center"/>
    </xf>
    <xf numFmtId="0" fontId="43" fillId="0" borderId="5" xfId="9" applyFont="1" applyBorder="1" applyAlignment="1">
      <alignment horizontal="center" vertical="center" wrapText="1"/>
    </xf>
    <xf numFmtId="0" fontId="43" fillId="12" borderId="5" xfId="9" applyFont="1" applyFill="1" applyBorder="1" applyAlignment="1">
      <alignment horizontal="center" vertical="center" wrapText="1"/>
    </xf>
    <xf numFmtId="0" fontId="43" fillId="13" borderId="5" xfId="9" applyFont="1" applyFill="1" applyBorder="1" applyAlignment="1">
      <alignment horizontal="center" vertical="center" wrapText="1"/>
    </xf>
    <xf numFmtId="0" fontId="44" fillId="0" borderId="5" xfId="9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43" fillId="0" borderId="5" xfId="9" applyFont="1" applyBorder="1" applyAlignment="1">
      <alignment horizontal="center" wrapText="1"/>
    </xf>
    <xf numFmtId="0" fontId="43" fillId="12" borderId="5" xfId="9" applyFont="1" applyFill="1" applyBorder="1" applyAlignment="1">
      <alignment horizontal="center" wrapText="1"/>
    </xf>
    <xf numFmtId="0" fontId="43" fillId="13" borderId="5" xfId="9" applyFont="1" applyFill="1" applyBorder="1" applyAlignment="1">
      <alignment horizontal="center" wrapText="1"/>
    </xf>
    <xf numFmtId="0" fontId="81" fillId="0" borderId="5" xfId="9" applyFont="1" applyBorder="1" applyAlignment="1">
      <alignment horizontal="center" vertical="center" wrapText="1"/>
    </xf>
    <xf numFmtId="9" fontId="6" fillId="0" borderId="4" xfId="9" applyNumberFormat="1" applyFont="1" applyBorder="1" applyAlignment="1">
      <alignment horizontal="center" vertical="center"/>
    </xf>
    <xf numFmtId="0" fontId="43" fillId="0" borderId="3" xfId="9" applyFont="1" applyBorder="1"/>
    <xf numFmtId="0" fontId="43" fillId="0" borderId="3" xfId="9" applyFont="1" applyBorder="1" applyAlignment="1">
      <alignment horizontal="center"/>
    </xf>
    <xf numFmtId="164" fontId="43" fillId="0" borderId="3" xfId="9" applyNumberFormat="1" applyFont="1" applyBorder="1" applyAlignment="1" applyProtection="1">
      <alignment horizontal="center"/>
      <protection locked="0"/>
    </xf>
    <xf numFmtId="164" fontId="43" fillId="12" borderId="3" xfId="9" applyNumberFormat="1" applyFont="1" applyFill="1" applyBorder="1" applyAlignment="1" applyProtection="1">
      <alignment horizontal="center"/>
      <protection locked="0"/>
    </xf>
    <xf numFmtId="2" fontId="43" fillId="13" borderId="3" xfId="9" applyNumberFormat="1" applyFont="1" applyFill="1" applyBorder="1" applyAlignment="1">
      <alignment horizontal="center"/>
    </xf>
    <xf numFmtId="164" fontId="43" fillId="0" borderId="3" xfId="9" applyNumberFormat="1" applyFont="1" applyBorder="1" applyAlignment="1">
      <alignment horizontal="center"/>
    </xf>
    <xf numFmtId="0" fontId="6" fillId="0" borderId="12" xfId="9" applyFont="1" applyBorder="1" applyAlignment="1">
      <alignment horizontal="center" vertical="center"/>
    </xf>
    <xf numFmtId="0" fontId="43" fillId="14" borderId="3" xfId="9" applyFont="1" applyFill="1" applyBorder="1"/>
    <xf numFmtId="0" fontId="43" fillId="4" borderId="3" xfId="9" applyFont="1" applyFill="1" applyBorder="1" applyAlignment="1">
      <alignment horizontal="center"/>
    </xf>
    <xf numFmtId="164" fontId="43" fillId="4" borderId="3" xfId="9" applyNumberFormat="1" applyFont="1" applyFill="1" applyBorder="1" applyAlignment="1" applyProtection="1">
      <alignment horizontal="center"/>
      <protection locked="0"/>
    </xf>
    <xf numFmtId="2" fontId="43" fillId="4" borderId="3" xfId="9" applyNumberFormat="1" applyFont="1" applyFill="1" applyBorder="1" applyAlignment="1">
      <alignment horizontal="center"/>
    </xf>
    <xf numFmtId="2" fontId="43" fillId="14" borderId="3" xfId="9" applyNumberFormat="1" applyFont="1" applyFill="1" applyBorder="1" applyAlignment="1">
      <alignment horizontal="center"/>
    </xf>
    <xf numFmtId="0" fontId="43" fillId="14" borderId="3" xfId="9" applyFont="1" applyFill="1" applyBorder="1" applyAlignment="1">
      <alignment horizontal="center"/>
    </xf>
    <xf numFmtId="164" fontId="43" fillId="4" borderId="3" xfId="9" applyNumberFormat="1" applyFont="1" applyFill="1" applyBorder="1" applyAlignment="1">
      <alignment horizontal="center"/>
    </xf>
    <xf numFmtId="0" fontId="6" fillId="0" borderId="5" xfId="9" applyFont="1" applyBorder="1" applyAlignment="1">
      <alignment horizontal="center" vertical="center"/>
    </xf>
    <xf numFmtId="0" fontId="43" fillId="4" borderId="3" xfId="9" applyFont="1" applyFill="1" applyBorder="1"/>
    <xf numFmtId="0" fontId="6" fillId="0" borderId="12" xfId="9" applyFont="1" applyBorder="1" applyAlignment="1">
      <alignment horizontal="center" vertical="center"/>
    </xf>
    <xf numFmtId="0" fontId="43" fillId="0" borderId="3" xfId="9" applyFont="1" applyBorder="1" applyAlignment="1">
      <alignment wrapText="1"/>
    </xf>
    <xf numFmtId="2" fontId="43" fillId="12" borderId="3" xfId="9" applyNumberFormat="1" applyFont="1" applyFill="1" applyBorder="1" applyAlignment="1">
      <alignment horizontal="center"/>
    </xf>
    <xf numFmtId="2" fontId="43" fillId="0" borderId="3" xfId="9" applyNumberFormat="1" applyFont="1" applyBorder="1" applyAlignment="1">
      <alignment horizontal="center"/>
    </xf>
    <xf numFmtId="0" fontId="43" fillId="14" borderId="3" xfId="9" applyFont="1" applyFill="1" applyBorder="1" applyAlignment="1">
      <alignment wrapText="1"/>
    </xf>
    <xf numFmtId="0" fontId="43" fillId="14" borderId="3" xfId="9" applyFont="1" applyFill="1" applyBorder="1" applyAlignment="1">
      <alignment horizontal="center" wrapText="1"/>
    </xf>
    <xf numFmtId="0" fontId="43" fillId="12" borderId="3" xfId="9" applyFont="1" applyFill="1" applyBorder="1" applyAlignment="1">
      <alignment horizontal="center"/>
    </xf>
    <xf numFmtId="0" fontId="43" fillId="13" borderId="3" xfId="9" applyFont="1" applyFill="1" applyBorder="1" applyAlignment="1">
      <alignment horizontal="center"/>
    </xf>
    <xf numFmtId="0" fontId="6" fillId="0" borderId="3" xfId="9" applyFont="1" applyBorder="1"/>
    <xf numFmtId="0" fontId="43" fillId="0" borderId="3" xfId="9" applyFont="1" applyFill="1" applyBorder="1" applyAlignment="1">
      <alignment wrapText="1"/>
    </xf>
    <xf numFmtId="0" fontId="43" fillId="0" borderId="3" xfId="9" applyFont="1" applyFill="1" applyBorder="1" applyAlignment="1">
      <alignment horizontal="center" wrapText="1"/>
    </xf>
    <xf numFmtId="9" fontId="6" fillId="0" borderId="4" xfId="9" applyNumberFormat="1" applyFont="1" applyBorder="1" applyAlignment="1">
      <alignment horizontal="center" vertical="center" wrapText="1"/>
    </xf>
    <xf numFmtId="0" fontId="6" fillId="0" borderId="12" xfId="9" applyFont="1" applyBorder="1" applyAlignment="1">
      <alignment horizontal="center" vertical="center" wrapText="1"/>
    </xf>
    <xf numFmtId="0" fontId="43" fillId="0" borderId="3" xfId="9" applyFont="1" applyFill="1" applyBorder="1" applyAlignment="1">
      <alignment vertical="center" wrapText="1"/>
    </xf>
    <xf numFmtId="0" fontId="43" fillId="0" borderId="3" xfId="9" applyFont="1" applyFill="1" applyBorder="1" applyAlignment="1">
      <alignment horizontal="center" vertical="center" wrapText="1"/>
    </xf>
    <xf numFmtId="0" fontId="43" fillId="4" borderId="3" xfId="9" applyFont="1" applyFill="1" applyBorder="1" applyAlignment="1">
      <alignment wrapText="1"/>
    </xf>
    <xf numFmtId="0" fontId="43" fillId="4" borderId="3" xfId="9" applyFont="1" applyFill="1" applyBorder="1" applyAlignment="1">
      <alignment horizontal="center" wrapText="1"/>
    </xf>
    <xf numFmtId="0" fontId="6" fillId="4" borderId="5" xfId="9" applyFont="1" applyFill="1" applyBorder="1" applyAlignment="1">
      <alignment horizontal="center" vertical="center" wrapText="1"/>
    </xf>
    <xf numFmtId="0" fontId="44" fillId="14" borderId="3" xfId="9" applyFont="1" applyFill="1" applyBorder="1"/>
    <xf numFmtId="0" fontId="44" fillId="14" borderId="3" xfId="9" applyFont="1" applyFill="1" applyBorder="1" applyAlignment="1">
      <alignment horizontal="center"/>
    </xf>
    <xf numFmtId="2" fontId="44" fillId="14" borderId="3" xfId="9" applyNumberFormat="1" applyFont="1" applyFill="1" applyBorder="1" applyAlignment="1">
      <alignment horizontal="center"/>
    </xf>
    <xf numFmtId="9" fontId="7" fillId="4" borderId="3" xfId="9" applyNumberFormat="1" applyFont="1" applyFill="1" applyBorder="1"/>
    <xf numFmtId="0" fontId="43" fillId="0" borderId="3" xfId="9" applyFont="1" applyBorder="1" applyAlignment="1">
      <alignment horizontal="center" wrapText="1"/>
    </xf>
    <xf numFmtId="1" fontId="43" fillId="12" borderId="3" xfId="9" applyNumberFormat="1" applyFont="1" applyFill="1" applyBorder="1" applyAlignment="1">
      <alignment horizontal="center"/>
    </xf>
    <xf numFmtId="0" fontId="43" fillId="0" borderId="0" xfId="9" applyFont="1"/>
    <xf numFmtId="0" fontId="43" fillId="0" borderId="0" xfId="9" applyFont="1" applyAlignment="1">
      <alignment horizontal="center"/>
    </xf>
    <xf numFmtId="0" fontId="41" fillId="0" borderId="0" xfId="0" applyFont="1" applyAlignment="1">
      <alignment horizontal="center"/>
    </xf>
  </cellXfs>
  <cellStyles count="10">
    <cellStyle name="Вывод" xfId="8" builtinId="21"/>
    <cellStyle name="Обычный" xfId="0" builtinId="0"/>
    <cellStyle name="Обычный 10" xfId="2"/>
    <cellStyle name="Обычный 15" xfId="4"/>
    <cellStyle name="Обычный 19" xfId="3"/>
    <cellStyle name="Обычный 2" xfId="1"/>
    <cellStyle name="Обычный 23" xfId="5"/>
    <cellStyle name="Обычный 24" xfId="7"/>
    <cellStyle name="Обычный 6" xfId="9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43"/>
  <sheetViews>
    <sheetView view="pageBreakPreview" zoomScaleNormal="100" zoomScaleSheetLayoutView="100" workbookViewId="0">
      <selection activeCell="C207" sqref="C207"/>
    </sheetView>
  </sheetViews>
  <sheetFormatPr defaultRowHeight="15.75" x14ac:dyDescent="0.25"/>
  <cols>
    <col min="1" max="1" width="9.140625" style="79"/>
    <col min="2" max="2" width="8.140625" style="79" customWidth="1"/>
    <col min="3" max="3" width="36.140625" style="79" customWidth="1"/>
    <col min="4" max="4" width="18" style="79" customWidth="1"/>
    <col min="5" max="5" width="14.7109375" style="79" customWidth="1"/>
    <col min="6" max="6" width="14.85546875" style="79" customWidth="1"/>
    <col min="7" max="7" width="15.5703125" style="79" customWidth="1"/>
    <col min="8" max="8" width="14" style="79" customWidth="1"/>
    <col min="9" max="9" width="18.5703125" style="79" customWidth="1"/>
    <col min="10" max="10" width="12.7109375" style="79" customWidth="1"/>
    <col min="11" max="11" width="19.5703125" style="79" customWidth="1"/>
    <col min="12" max="12" width="17.28515625" style="79" customWidth="1"/>
    <col min="13" max="13" width="17.85546875" style="79" customWidth="1"/>
    <col min="14" max="16384" width="9.140625" style="79"/>
  </cols>
  <sheetData>
    <row r="2" spans="2:9" x14ac:dyDescent="0.25">
      <c r="B2" s="520" t="s">
        <v>0</v>
      </c>
      <c r="C2" s="520"/>
      <c r="D2" s="520"/>
      <c r="E2" s="520"/>
      <c r="F2" s="520"/>
      <c r="G2" s="77"/>
      <c r="H2" s="77"/>
    </row>
    <row r="3" spans="2:9" x14ac:dyDescent="0.25">
      <c r="B3" s="77"/>
      <c r="C3" s="80" t="s">
        <v>1</v>
      </c>
      <c r="D3" s="77"/>
      <c r="E3" s="77"/>
      <c r="F3" s="77"/>
      <c r="G3" s="77"/>
      <c r="H3" s="77"/>
    </row>
    <row r="4" spans="2:9" ht="16.5" thickBot="1" x14ac:dyDescent="0.3">
      <c r="B4" s="77"/>
      <c r="C4" s="77"/>
      <c r="E4" s="77"/>
      <c r="F4" s="77"/>
      <c r="G4" s="77"/>
      <c r="H4" s="77"/>
    </row>
    <row r="5" spans="2:9" ht="16.5" thickBot="1" x14ac:dyDescent="0.3">
      <c r="D5" s="81" t="s">
        <v>2</v>
      </c>
    </row>
    <row r="6" spans="2:9" x14ac:dyDescent="0.25">
      <c r="B6" s="77"/>
      <c r="C6" s="77"/>
      <c r="D6" s="77"/>
      <c r="E6" s="82"/>
      <c r="F6" s="82"/>
      <c r="G6" s="82"/>
      <c r="H6" s="82"/>
    </row>
    <row r="7" spans="2:9" ht="31.5" x14ac:dyDescent="0.25">
      <c r="B7" s="83" t="s">
        <v>3</v>
      </c>
      <c r="C7" s="83" t="s">
        <v>4</v>
      </c>
      <c r="D7" s="112" t="s">
        <v>5</v>
      </c>
      <c r="E7" s="82"/>
      <c r="F7" s="82"/>
      <c r="G7" s="82"/>
      <c r="H7" s="82"/>
    </row>
    <row r="8" spans="2:9" ht="60.75" x14ac:dyDescent="0.25">
      <c r="B8" s="85">
        <v>1</v>
      </c>
      <c r="C8" s="450" t="s">
        <v>6</v>
      </c>
      <c r="D8" s="86">
        <v>1300</v>
      </c>
      <c r="E8" s="77"/>
      <c r="F8" s="77"/>
      <c r="G8" s="77"/>
      <c r="H8" s="77"/>
      <c r="I8" s="87"/>
    </row>
    <row r="9" spans="2:9" x14ac:dyDescent="0.25">
      <c r="B9" s="85"/>
      <c r="C9" s="88"/>
      <c r="D9" s="88"/>
      <c r="E9" s="77"/>
      <c r="F9" s="77"/>
      <c r="G9" s="77"/>
      <c r="H9" s="77"/>
    </row>
    <row r="11" spans="2:9" x14ac:dyDescent="0.25">
      <c r="C11" s="89" t="s">
        <v>7</v>
      </c>
      <c r="D11" s="90"/>
      <c r="E11" s="77"/>
      <c r="F11" s="77"/>
      <c r="G11" s="77"/>
      <c r="H11" s="77"/>
    </row>
    <row r="12" spans="2:9" x14ac:dyDescent="0.25">
      <c r="C12" s="91" t="s">
        <v>8</v>
      </c>
      <c r="D12" s="91"/>
      <c r="E12" s="91"/>
      <c r="F12" s="91"/>
      <c r="G12" s="77"/>
      <c r="H12" s="77"/>
    </row>
    <row r="13" spans="2:9" x14ac:dyDescent="0.25">
      <c r="C13" s="91" t="s">
        <v>9</v>
      </c>
      <c r="D13" s="91"/>
      <c r="E13" s="91"/>
      <c r="F13" s="91"/>
      <c r="G13" s="77"/>
      <c r="H13" s="77"/>
    </row>
    <row r="14" spans="2:9" x14ac:dyDescent="0.25">
      <c r="C14" s="521" t="s">
        <v>10</v>
      </c>
      <c r="D14" s="521"/>
      <c r="E14" s="521"/>
      <c r="F14" s="521"/>
      <c r="G14" s="521"/>
      <c r="H14" s="77"/>
    </row>
    <row r="15" spans="2:9" x14ac:dyDescent="0.25">
      <c r="C15" s="521" t="s">
        <v>11</v>
      </c>
      <c r="D15" s="521"/>
      <c r="E15" s="521"/>
      <c r="F15" s="521"/>
      <c r="G15" s="521"/>
      <c r="H15" s="77"/>
    </row>
    <row r="16" spans="2:9" x14ac:dyDescent="0.25">
      <c r="C16" s="91" t="s">
        <v>12</v>
      </c>
      <c r="D16" s="91"/>
      <c r="E16" s="77"/>
      <c r="F16" s="77"/>
      <c r="G16" s="77"/>
      <c r="H16" s="77"/>
      <c r="I16" s="77"/>
    </row>
    <row r="17" spans="2:14" x14ac:dyDescent="0.25">
      <c r="B17" s="77"/>
      <c r="C17" s="77"/>
      <c r="D17" s="77"/>
      <c r="E17" s="77"/>
      <c r="F17" s="77"/>
      <c r="G17" s="77"/>
      <c r="H17" s="77"/>
      <c r="I17" s="77"/>
    </row>
    <row r="18" spans="2:14" x14ac:dyDescent="0.25">
      <c r="C18" s="92" t="s">
        <v>13</v>
      </c>
      <c r="D18" s="93"/>
      <c r="E18" s="94" t="s">
        <v>14</v>
      </c>
      <c r="F18" s="94"/>
      <c r="G18" s="95"/>
      <c r="H18" s="96"/>
      <c r="I18" s="96"/>
      <c r="J18" s="97"/>
    </row>
    <row r="19" spans="2:14" x14ac:dyDescent="0.25">
      <c r="C19" s="98" t="s">
        <v>15</v>
      </c>
      <c r="D19" s="98"/>
      <c r="E19" s="98"/>
      <c r="F19" s="98"/>
      <c r="G19" s="98"/>
      <c r="H19" s="96"/>
      <c r="I19" s="96"/>
    </row>
    <row r="20" spans="2:14" x14ac:dyDescent="0.25">
      <c r="C20" s="79" t="s">
        <v>16</v>
      </c>
      <c r="E20" s="96"/>
      <c r="F20" s="96"/>
      <c r="G20" s="99"/>
      <c r="H20" s="96"/>
      <c r="I20" s="96"/>
    </row>
    <row r="21" spans="2:14" x14ac:dyDescent="0.25">
      <c r="C21" s="100" t="s">
        <v>17</v>
      </c>
      <c r="D21" s="96"/>
      <c r="E21" s="96"/>
      <c r="F21" s="95"/>
      <c r="G21" s="95"/>
      <c r="H21" s="95"/>
      <c r="I21" s="96"/>
    </row>
    <row r="22" spans="2:14" x14ac:dyDescent="0.25">
      <c r="B22" s="96"/>
      <c r="C22" s="79" t="s">
        <v>18</v>
      </c>
      <c r="E22" s="96"/>
      <c r="F22" s="93"/>
      <c r="G22" s="101"/>
      <c r="H22" s="102"/>
      <c r="I22" s="96"/>
    </row>
    <row r="23" spans="2:14" x14ac:dyDescent="0.25">
      <c r="B23" s="96"/>
      <c r="C23" s="103" t="s">
        <v>19</v>
      </c>
      <c r="E23" s="104"/>
      <c r="F23" s="104"/>
      <c r="G23" s="99"/>
      <c r="H23" s="96"/>
      <c r="I23" s="96"/>
    </row>
    <row r="24" spans="2:14" x14ac:dyDescent="0.25">
      <c r="B24" s="96"/>
      <c r="C24" s="99"/>
      <c r="E24" s="105"/>
      <c r="F24" s="105"/>
      <c r="G24" s="99"/>
      <c r="H24" s="96"/>
      <c r="I24" s="96"/>
    </row>
    <row r="25" spans="2:14" ht="31.5" customHeight="1" x14ac:dyDescent="0.25">
      <c r="B25" s="77"/>
      <c r="C25" s="522" t="s">
        <v>20</v>
      </c>
      <c r="D25" s="522"/>
      <c r="E25" s="522"/>
      <c r="F25" s="522"/>
      <c r="G25" s="522"/>
      <c r="H25" s="522"/>
      <c r="I25" s="522"/>
      <c r="J25" s="522"/>
    </row>
    <row r="26" spans="2:14" ht="16.5" thickBot="1" x14ac:dyDescent="0.3">
      <c r="B26" s="77"/>
      <c r="C26" s="106"/>
      <c r="D26" s="77"/>
      <c r="E26" s="77"/>
      <c r="F26" s="77"/>
      <c r="G26" s="77"/>
      <c r="H26" s="77"/>
    </row>
    <row r="27" spans="2:14" ht="16.5" thickBot="1" x14ac:dyDescent="0.3">
      <c r="B27" s="107"/>
      <c r="C27" s="523" t="s">
        <v>21</v>
      </c>
      <c r="D27" s="523"/>
      <c r="E27" s="523"/>
      <c r="F27" s="523"/>
      <c r="G27" s="523"/>
      <c r="H27" s="523"/>
      <c r="I27" s="11"/>
      <c r="J27" s="108"/>
      <c r="K27" s="11"/>
      <c r="L27" s="81" t="s">
        <v>22</v>
      </c>
    </row>
    <row r="28" spans="2:14" x14ac:dyDescent="0.25">
      <c r="B28" s="107"/>
      <c r="C28" s="519" t="s">
        <v>23</v>
      </c>
      <c r="D28" s="519"/>
      <c r="E28" s="11"/>
      <c r="F28" s="11"/>
      <c r="G28" s="109"/>
      <c r="H28" s="11"/>
      <c r="I28" s="11"/>
      <c r="J28" s="11"/>
      <c r="K28" s="11"/>
    </row>
    <row r="29" spans="2:14" x14ac:dyDescent="0.25">
      <c r="B29" s="107"/>
      <c r="C29" s="519" t="s">
        <v>24</v>
      </c>
      <c r="D29" s="519"/>
      <c r="E29" s="519"/>
      <c r="F29" s="11"/>
      <c r="G29" s="109"/>
      <c r="H29" s="11"/>
      <c r="I29" s="11"/>
      <c r="J29" s="11"/>
      <c r="K29" s="11"/>
    </row>
    <row r="30" spans="2:14" x14ac:dyDescent="0.25">
      <c r="B30" s="107"/>
      <c r="C30" s="519" t="s">
        <v>25</v>
      </c>
      <c r="D30" s="519"/>
      <c r="E30" s="519"/>
      <c r="F30" s="519"/>
      <c r="G30" s="519"/>
      <c r="H30" s="11"/>
      <c r="I30" s="11"/>
      <c r="J30" s="11"/>
      <c r="K30" s="11"/>
    </row>
    <row r="31" spans="2:14" x14ac:dyDescent="0.25">
      <c r="B31" s="107"/>
      <c r="C31" s="519" t="s">
        <v>26</v>
      </c>
      <c r="D31" s="519"/>
      <c r="E31" s="519"/>
      <c r="F31" s="109"/>
      <c r="G31" s="109"/>
      <c r="H31" s="11"/>
      <c r="I31" s="11"/>
      <c r="J31" s="11"/>
      <c r="K31" s="11"/>
    </row>
    <row r="32" spans="2:14" x14ac:dyDescent="0.25">
      <c r="B32" s="110"/>
      <c r="C32" s="110"/>
      <c r="D32" s="110"/>
      <c r="E32" s="110"/>
      <c r="F32" s="110"/>
      <c r="G32" s="110"/>
      <c r="H32" s="111"/>
      <c r="I32" s="110"/>
      <c r="J32" s="110"/>
      <c r="K32" s="110"/>
      <c r="M32" s="110"/>
      <c r="N32" s="110"/>
    </row>
    <row r="33" spans="2:14" ht="57.75" customHeight="1" x14ac:dyDescent="0.25">
      <c r="B33" s="83" t="s">
        <v>3</v>
      </c>
      <c r="C33" s="112" t="s">
        <v>27</v>
      </c>
      <c r="D33" s="84" t="s">
        <v>28</v>
      </c>
      <c r="E33" s="84" t="s">
        <v>29</v>
      </c>
      <c r="F33" s="113" t="s">
        <v>30</v>
      </c>
      <c r="G33" s="113" t="s">
        <v>31</v>
      </c>
      <c r="H33" s="84" t="s">
        <v>32</v>
      </c>
      <c r="I33" s="84" t="s">
        <v>33</v>
      </c>
      <c r="J33" s="84" t="s">
        <v>34</v>
      </c>
      <c r="K33" s="84" t="s">
        <v>35</v>
      </c>
      <c r="L33" s="114" t="s">
        <v>36</v>
      </c>
      <c r="M33" s="110"/>
      <c r="N33" s="110"/>
    </row>
    <row r="34" spans="2:14" x14ac:dyDescent="0.25">
      <c r="B34" s="85">
        <v>1</v>
      </c>
      <c r="C34" s="85">
        <v>2</v>
      </c>
      <c r="D34" s="85">
        <v>3</v>
      </c>
      <c r="E34" s="85">
        <v>4</v>
      </c>
      <c r="F34" s="85">
        <v>5</v>
      </c>
      <c r="G34" s="85">
        <v>6</v>
      </c>
      <c r="H34" s="85">
        <v>8</v>
      </c>
      <c r="I34" s="85">
        <v>8</v>
      </c>
      <c r="J34" s="85">
        <v>9</v>
      </c>
      <c r="K34" s="85">
        <v>10</v>
      </c>
      <c r="L34" s="115">
        <v>11</v>
      </c>
      <c r="M34" s="110"/>
      <c r="N34" s="110"/>
    </row>
    <row r="35" spans="2:14" x14ac:dyDescent="0.25">
      <c r="B35" s="515">
        <v>1</v>
      </c>
      <c r="C35" s="116"/>
      <c r="D35" s="510">
        <v>12.9</v>
      </c>
      <c r="E35" s="510">
        <v>1.2</v>
      </c>
      <c r="F35" s="517">
        <v>7520</v>
      </c>
      <c r="G35" s="510">
        <f>F35/77.4*D35*E35</f>
        <v>1503.9999999999998</v>
      </c>
      <c r="H35" s="510">
        <f>G35*3</f>
        <v>4511.9999999999991</v>
      </c>
      <c r="I35" s="510">
        <f>(H35+G35)*0.15</f>
        <v>902.39999999999986</v>
      </c>
      <c r="J35" s="510">
        <f>I35+H35+G35</f>
        <v>6918.3999999999987</v>
      </c>
      <c r="K35" s="510">
        <f>J35*0.302</f>
        <v>2089.3567999999996</v>
      </c>
      <c r="L35" s="512">
        <f>(J35+K35)*6</f>
        <v>54046.540799999995</v>
      </c>
      <c r="M35" s="514"/>
      <c r="N35" s="110"/>
    </row>
    <row r="36" spans="2:14" x14ac:dyDescent="0.25">
      <c r="B36" s="516"/>
      <c r="C36" s="117" t="s">
        <v>37</v>
      </c>
      <c r="D36" s="511"/>
      <c r="E36" s="511"/>
      <c r="F36" s="518"/>
      <c r="G36" s="511"/>
      <c r="H36" s="511"/>
      <c r="I36" s="511"/>
      <c r="J36" s="511"/>
      <c r="K36" s="511"/>
      <c r="L36" s="513"/>
      <c r="M36" s="514"/>
      <c r="N36" s="110"/>
    </row>
    <row r="37" spans="2:14" x14ac:dyDescent="0.25">
      <c r="B37" s="515">
        <v>2</v>
      </c>
      <c r="C37" s="116"/>
      <c r="D37" s="510"/>
      <c r="E37" s="510">
        <v>1.2</v>
      </c>
      <c r="F37" s="517">
        <v>7520</v>
      </c>
      <c r="G37" s="510">
        <f>F37/77.4*D37*E37</f>
        <v>0</v>
      </c>
      <c r="H37" s="510">
        <f>G37*0.9</f>
        <v>0</v>
      </c>
      <c r="I37" s="510">
        <f t="shared" ref="I37" si="0">(H37+G37)*0.15</f>
        <v>0</v>
      </c>
      <c r="J37" s="510">
        <f t="shared" ref="J37:J55" si="1">I37+H37+G37</f>
        <v>0</v>
      </c>
      <c r="K37" s="510">
        <f>J37*0.302</f>
        <v>0</v>
      </c>
      <c r="L37" s="512">
        <f t="shared" ref="L37" si="2">(J37+K37)*3</f>
        <v>0</v>
      </c>
      <c r="M37" s="514"/>
      <c r="N37" s="110"/>
    </row>
    <row r="38" spans="2:14" x14ac:dyDescent="0.25">
      <c r="B38" s="516"/>
      <c r="C38" s="117"/>
      <c r="D38" s="511"/>
      <c r="E38" s="511"/>
      <c r="F38" s="518"/>
      <c r="G38" s="511"/>
      <c r="H38" s="511"/>
      <c r="I38" s="511"/>
      <c r="J38" s="511"/>
      <c r="K38" s="511"/>
      <c r="L38" s="513"/>
      <c r="M38" s="514"/>
      <c r="N38" s="110"/>
    </row>
    <row r="39" spans="2:14" hidden="1" x14ac:dyDescent="0.25">
      <c r="B39" s="515">
        <v>3</v>
      </c>
      <c r="C39" s="116"/>
      <c r="D39" s="510"/>
      <c r="E39" s="510">
        <v>1.2</v>
      </c>
      <c r="F39" s="517">
        <v>7520</v>
      </c>
      <c r="G39" s="510">
        <f>F39/77.4*D39*E39</f>
        <v>0</v>
      </c>
      <c r="H39" s="510">
        <f t="shared" ref="H39" si="3">G39*0.9</f>
        <v>0</v>
      </c>
      <c r="I39" s="510">
        <f t="shared" ref="I39" si="4">(H39+G39)*0.15</f>
        <v>0</v>
      </c>
      <c r="J39" s="510">
        <f t="shared" si="1"/>
        <v>0</v>
      </c>
      <c r="K39" s="510">
        <f>J39*0.302</f>
        <v>0</v>
      </c>
      <c r="L39" s="512">
        <f t="shared" ref="L39" si="5">(J39+K39)*3</f>
        <v>0</v>
      </c>
      <c r="M39" s="514"/>
      <c r="N39" s="110"/>
    </row>
    <row r="40" spans="2:14" hidden="1" x14ac:dyDescent="0.25">
      <c r="B40" s="516"/>
      <c r="C40" s="117"/>
      <c r="D40" s="511"/>
      <c r="E40" s="511"/>
      <c r="F40" s="518"/>
      <c r="G40" s="511"/>
      <c r="H40" s="511"/>
      <c r="I40" s="511"/>
      <c r="J40" s="511"/>
      <c r="K40" s="511"/>
      <c r="L40" s="513"/>
      <c r="M40" s="514"/>
      <c r="N40" s="110"/>
    </row>
    <row r="41" spans="2:14" hidden="1" x14ac:dyDescent="0.25">
      <c r="B41" s="515">
        <v>4</v>
      </c>
      <c r="C41" s="116"/>
      <c r="D41" s="510"/>
      <c r="E41" s="510">
        <v>1.2</v>
      </c>
      <c r="F41" s="517">
        <v>7520</v>
      </c>
      <c r="G41" s="510">
        <f>F41/77.4*D41*E41</f>
        <v>0</v>
      </c>
      <c r="H41" s="510">
        <f t="shared" ref="H41" si="6">G41*0.9</f>
        <v>0</v>
      </c>
      <c r="I41" s="510">
        <f t="shared" ref="I41" si="7">(H41+G41)*0.15</f>
        <v>0</v>
      </c>
      <c r="J41" s="510">
        <f t="shared" si="1"/>
        <v>0</v>
      </c>
      <c r="K41" s="510">
        <f>J41*0.302</f>
        <v>0</v>
      </c>
      <c r="L41" s="512">
        <f t="shared" ref="L41" si="8">(J41+K41)*3</f>
        <v>0</v>
      </c>
      <c r="M41" s="514"/>
      <c r="N41" s="110"/>
    </row>
    <row r="42" spans="2:14" hidden="1" x14ac:dyDescent="0.25">
      <c r="B42" s="516"/>
      <c r="C42" s="117"/>
      <c r="D42" s="511"/>
      <c r="E42" s="511"/>
      <c r="F42" s="518"/>
      <c r="G42" s="511"/>
      <c r="H42" s="511"/>
      <c r="I42" s="511"/>
      <c r="J42" s="511"/>
      <c r="K42" s="511"/>
      <c r="L42" s="513"/>
      <c r="M42" s="514"/>
      <c r="N42" s="110"/>
    </row>
    <row r="43" spans="2:14" hidden="1" x14ac:dyDescent="0.25">
      <c r="B43" s="515">
        <v>5</v>
      </c>
      <c r="C43" s="116"/>
      <c r="D43" s="510"/>
      <c r="E43" s="510">
        <v>1.2</v>
      </c>
      <c r="F43" s="517">
        <v>7520</v>
      </c>
      <c r="G43" s="510">
        <f>F43/77.4*D43*E43</f>
        <v>0</v>
      </c>
      <c r="H43" s="510">
        <f t="shared" ref="H43" si="9">G43*0.9</f>
        <v>0</v>
      </c>
      <c r="I43" s="510">
        <f t="shared" ref="I43" si="10">(H43+G43)*0.15</f>
        <v>0</v>
      </c>
      <c r="J43" s="510">
        <f t="shared" si="1"/>
        <v>0</v>
      </c>
      <c r="K43" s="510">
        <f>J43*0.302</f>
        <v>0</v>
      </c>
      <c r="L43" s="512">
        <f t="shared" ref="L43" si="11">(J43+K43)*3</f>
        <v>0</v>
      </c>
      <c r="M43" s="514"/>
      <c r="N43" s="110"/>
    </row>
    <row r="44" spans="2:14" hidden="1" x14ac:dyDescent="0.25">
      <c r="B44" s="516"/>
      <c r="C44" s="117"/>
      <c r="D44" s="511"/>
      <c r="E44" s="511"/>
      <c r="F44" s="518"/>
      <c r="G44" s="511"/>
      <c r="H44" s="511"/>
      <c r="I44" s="511"/>
      <c r="J44" s="511"/>
      <c r="K44" s="511"/>
      <c r="L44" s="513"/>
      <c r="M44" s="514"/>
      <c r="N44" s="110"/>
    </row>
    <row r="45" spans="2:14" hidden="1" x14ac:dyDescent="0.25">
      <c r="B45" s="515">
        <v>6</v>
      </c>
      <c r="C45" s="116"/>
      <c r="D45" s="510"/>
      <c r="E45" s="510">
        <v>1.2</v>
      </c>
      <c r="F45" s="517">
        <v>7520</v>
      </c>
      <c r="G45" s="510">
        <f>F45/77.4*D45*E45</f>
        <v>0</v>
      </c>
      <c r="H45" s="510">
        <f>G45*2</f>
        <v>0</v>
      </c>
      <c r="I45" s="510">
        <f t="shared" ref="I45" si="12">(H45+G45)*0.15</f>
        <v>0</v>
      </c>
      <c r="J45" s="510">
        <f t="shared" si="1"/>
        <v>0</v>
      </c>
      <c r="K45" s="510">
        <f>J45*0.302</f>
        <v>0</v>
      </c>
      <c r="L45" s="512">
        <f t="shared" ref="L45" si="13">(J45+K45)*3</f>
        <v>0</v>
      </c>
      <c r="M45" s="514"/>
      <c r="N45" s="110"/>
    </row>
    <row r="46" spans="2:14" hidden="1" x14ac:dyDescent="0.25">
      <c r="B46" s="516"/>
      <c r="C46" s="117"/>
      <c r="D46" s="511"/>
      <c r="E46" s="511"/>
      <c r="F46" s="518"/>
      <c r="G46" s="511"/>
      <c r="H46" s="511"/>
      <c r="I46" s="511"/>
      <c r="J46" s="511"/>
      <c r="K46" s="511"/>
      <c r="L46" s="513"/>
      <c r="M46" s="514"/>
      <c r="N46" s="110"/>
    </row>
    <row r="47" spans="2:14" hidden="1" x14ac:dyDescent="0.25">
      <c r="B47" s="515">
        <v>7</v>
      </c>
      <c r="C47" s="116"/>
      <c r="D47" s="510"/>
      <c r="E47" s="510">
        <v>1.2</v>
      </c>
      <c r="F47" s="517">
        <v>7520</v>
      </c>
      <c r="G47" s="510">
        <f>F47/77.4*D47*E47</f>
        <v>0</v>
      </c>
      <c r="H47" s="510">
        <f t="shared" ref="H47" si="14">G47*0.9</f>
        <v>0</v>
      </c>
      <c r="I47" s="510">
        <f t="shared" ref="I47" si="15">(H47+G47)*0.15</f>
        <v>0</v>
      </c>
      <c r="J47" s="510">
        <f t="shared" si="1"/>
        <v>0</v>
      </c>
      <c r="K47" s="510">
        <f>J47*0.302</f>
        <v>0</v>
      </c>
      <c r="L47" s="512">
        <f t="shared" ref="L47" si="16">(J47+K47)*3</f>
        <v>0</v>
      </c>
      <c r="M47" s="514"/>
      <c r="N47" s="110"/>
    </row>
    <row r="48" spans="2:14" hidden="1" x14ac:dyDescent="0.25">
      <c r="B48" s="516"/>
      <c r="C48" s="117"/>
      <c r="D48" s="511"/>
      <c r="E48" s="511"/>
      <c r="F48" s="518"/>
      <c r="G48" s="511"/>
      <c r="H48" s="511"/>
      <c r="I48" s="511"/>
      <c r="J48" s="511"/>
      <c r="K48" s="511"/>
      <c r="L48" s="513"/>
      <c r="M48" s="514"/>
      <c r="N48" s="110"/>
    </row>
    <row r="49" spans="2:14" hidden="1" x14ac:dyDescent="0.25">
      <c r="B49" s="515">
        <v>8</v>
      </c>
      <c r="C49" s="116"/>
      <c r="D49" s="510"/>
      <c r="E49" s="510">
        <v>1.2</v>
      </c>
      <c r="F49" s="517">
        <v>7520</v>
      </c>
      <c r="G49" s="510">
        <f>F49/77.4*D49*E49</f>
        <v>0</v>
      </c>
      <c r="H49" s="510">
        <f t="shared" ref="H49" si="17">G49*0.9</f>
        <v>0</v>
      </c>
      <c r="I49" s="510">
        <f t="shared" ref="I49" si="18">(H49+G49)*0.15</f>
        <v>0</v>
      </c>
      <c r="J49" s="510">
        <f t="shared" si="1"/>
        <v>0</v>
      </c>
      <c r="K49" s="510">
        <f>J49*0.302</f>
        <v>0</v>
      </c>
      <c r="L49" s="512">
        <f t="shared" ref="L49" si="19">(J49+K49)*3</f>
        <v>0</v>
      </c>
      <c r="M49" s="514"/>
      <c r="N49" s="110"/>
    </row>
    <row r="50" spans="2:14" hidden="1" x14ac:dyDescent="0.25">
      <c r="B50" s="516"/>
      <c r="C50" s="117"/>
      <c r="D50" s="511"/>
      <c r="E50" s="511"/>
      <c r="F50" s="518"/>
      <c r="G50" s="511"/>
      <c r="H50" s="511"/>
      <c r="I50" s="511"/>
      <c r="J50" s="511"/>
      <c r="K50" s="511"/>
      <c r="L50" s="513"/>
      <c r="M50" s="514"/>
      <c r="N50" s="110"/>
    </row>
    <row r="51" spans="2:14" hidden="1" x14ac:dyDescent="0.25">
      <c r="B51" s="515">
        <v>9</v>
      </c>
      <c r="C51" s="116"/>
      <c r="D51" s="510"/>
      <c r="E51" s="510">
        <v>1.2</v>
      </c>
      <c r="F51" s="517">
        <v>7520</v>
      </c>
      <c r="G51" s="510">
        <f>F51/77.4*D51*E51</f>
        <v>0</v>
      </c>
      <c r="H51" s="510">
        <f t="shared" ref="H51" si="20">G51*0.9</f>
        <v>0</v>
      </c>
      <c r="I51" s="510">
        <f t="shared" ref="I51" si="21">(H51+G51)*0.15</f>
        <v>0</v>
      </c>
      <c r="J51" s="510">
        <f t="shared" si="1"/>
        <v>0</v>
      </c>
      <c r="K51" s="510">
        <f>J51*0.302</f>
        <v>0</v>
      </c>
      <c r="L51" s="512">
        <f t="shared" ref="L51" si="22">(J51+K51)*3</f>
        <v>0</v>
      </c>
      <c r="M51" s="514"/>
      <c r="N51" s="110"/>
    </row>
    <row r="52" spans="2:14" hidden="1" x14ac:dyDescent="0.25">
      <c r="B52" s="516"/>
      <c r="C52" s="117"/>
      <c r="D52" s="511"/>
      <c r="E52" s="511"/>
      <c r="F52" s="518"/>
      <c r="G52" s="511"/>
      <c r="H52" s="511"/>
      <c r="I52" s="511"/>
      <c r="J52" s="511"/>
      <c r="K52" s="511"/>
      <c r="L52" s="513"/>
      <c r="M52" s="514"/>
      <c r="N52" s="110"/>
    </row>
    <row r="53" spans="2:14" hidden="1" x14ac:dyDescent="0.25">
      <c r="B53" s="515">
        <v>10</v>
      </c>
      <c r="C53" s="116"/>
      <c r="D53" s="510"/>
      <c r="E53" s="510">
        <v>1.2</v>
      </c>
      <c r="F53" s="517">
        <v>7520</v>
      </c>
      <c r="G53" s="510">
        <f>F53/77.4*D53*E53</f>
        <v>0</v>
      </c>
      <c r="H53" s="510">
        <f t="shared" ref="H53" si="23">G53*0.9</f>
        <v>0</v>
      </c>
      <c r="I53" s="510">
        <f t="shared" ref="I53" si="24">(H53+G53)*0.15</f>
        <v>0</v>
      </c>
      <c r="J53" s="510">
        <f t="shared" si="1"/>
        <v>0</v>
      </c>
      <c r="K53" s="510">
        <f>J53*0.302</f>
        <v>0</v>
      </c>
      <c r="L53" s="512">
        <f t="shared" ref="L53" si="25">(J53+K53)*3</f>
        <v>0</v>
      </c>
      <c r="M53" s="514"/>
      <c r="N53" s="110"/>
    </row>
    <row r="54" spans="2:14" hidden="1" x14ac:dyDescent="0.25">
      <c r="B54" s="516"/>
      <c r="C54" s="117"/>
      <c r="D54" s="511"/>
      <c r="E54" s="511"/>
      <c r="F54" s="518"/>
      <c r="G54" s="511"/>
      <c r="H54" s="511"/>
      <c r="I54" s="511"/>
      <c r="J54" s="511"/>
      <c r="K54" s="511"/>
      <c r="L54" s="513"/>
      <c r="M54" s="514"/>
      <c r="N54" s="110"/>
    </row>
    <row r="55" spans="2:14" hidden="1" x14ac:dyDescent="0.25">
      <c r="B55" s="515">
        <v>10</v>
      </c>
      <c r="C55" s="116"/>
      <c r="D55" s="510"/>
      <c r="E55" s="510">
        <v>1.2</v>
      </c>
      <c r="F55" s="517">
        <v>7520</v>
      </c>
      <c r="G55" s="510">
        <f>F55/77.4*D55*E55</f>
        <v>0</v>
      </c>
      <c r="H55" s="510">
        <f t="shared" ref="H55" si="26">G55*0.9</f>
        <v>0</v>
      </c>
      <c r="I55" s="510">
        <f t="shared" ref="I55" si="27">(H55+G55)*0.15</f>
        <v>0</v>
      </c>
      <c r="J55" s="510">
        <f t="shared" si="1"/>
        <v>0</v>
      </c>
      <c r="K55" s="510">
        <f>J55*0.302</f>
        <v>0</v>
      </c>
      <c r="L55" s="512">
        <f t="shared" ref="L55" si="28">(J55+K55)*3</f>
        <v>0</v>
      </c>
      <c r="M55" s="514"/>
      <c r="N55" s="110"/>
    </row>
    <row r="56" spans="2:14" hidden="1" x14ac:dyDescent="0.25">
      <c r="B56" s="516"/>
      <c r="C56" s="117"/>
      <c r="D56" s="511"/>
      <c r="E56" s="511"/>
      <c r="F56" s="518"/>
      <c r="G56" s="511"/>
      <c r="H56" s="511"/>
      <c r="I56" s="511"/>
      <c r="J56" s="511"/>
      <c r="K56" s="511"/>
      <c r="L56" s="513"/>
      <c r="M56" s="514"/>
      <c r="N56" s="110"/>
    </row>
    <row r="57" spans="2:14" x14ac:dyDescent="0.25">
      <c r="B57" s="118"/>
      <c r="C57" s="119" t="s">
        <v>38</v>
      </c>
      <c r="D57" s="120">
        <f>D35+D37+D39+D41+D43+D45+D47+D49+D51+D53+D55</f>
        <v>12.9</v>
      </c>
      <c r="E57" s="120"/>
      <c r="F57" s="118"/>
      <c r="G57" s="120"/>
      <c r="H57" s="120"/>
      <c r="I57" s="120"/>
      <c r="J57" s="120">
        <f t="shared" ref="J57:K57" si="29">J35+J37+J39+J41+J43+J45+J47+J49+J51+J53+J55</f>
        <v>6918.3999999999987</v>
      </c>
      <c r="K57" s="120">
        <f t="shared" si="29"/>
        <v>2089.3567999999996</v>
      </c>
      <c r="L57" s="120">
        <f>L35+L37+L39+L41+L43+L45+L47+L49+L51+L53+L55</f>
        <v>54046.540799999995</v>
      </c>
      <c r="M57" s="110"/>
      <c r="N57" s="110"/>
    </row>
    <row r="58" spans="2:14" ht="16.5" thickBot="1" x14ac:dyDescent="0.3"/>
    <row r="59" spans="2:14" ht="16.5" thickBot="1" x14ac:dyDescent="0.3">
      <c r="B59" s="77"/>
      <c r="C59" s="78" t="s">
        <v>39</v>
      </c>
      <c r="D59" s="77"/>
      <c r="E59" s="77"/>
      <c r="F59" s="77"/>
      <c r="G59" s="81" t="s">
        <v>40</v>
      </c>
      <c r="H59" s="77"/>
      <c r="I59" s="77"/>
      <c r="J59" s="77"/>
    </row>
    <row r="61" spans="2:14" ht="78.75" x14ac:dyDescent="0.25">
      <c r="B61" s="83" t="s">
        <v>3</v>
      </c>
      <c r="C61" s="112" t="s">
        <v>41</v>
      </c>
      <c r="D61" s="112" t="s">
        <v>42</v>
      </c>
      <c r="E61" s="112" t="s">
        <v>43</v>
      </c>
      <c r="F61" s="112" t="s">
        <v>44</v>
      </c>
      <c r="G61" s="112" t="s">
        <v>45</v>
      </c>
      <c r="H61" s="77"/>
      <c r="I61" s="77"/>
      <c r="J61" s="77"/>
    </row>
    <row r="62" spans="2:14" x14ac:dyDescent="0.25">
      <c r="B62" s="85">
        <v>1</v>
      </c>
      <c r="C62" s="85">
        <v>2</v>
      </c>
      <c r="D62" s="85">
        <v>3</v>
      </c>
      <c r="E62" s="85">
        <v>4</v>
      </c>
      <c r="F62" s="85">
        <v>5</v>
      </c>
      <c r="G62" s="85">
        <v>6</v>
      </c>
      <c r="H62" s="82"/>
      <c r="I62" s="77"/>
      <c r="K62" s="79" t="s">
        <v>46</v>
      </c>
    </row>
    <row r="63" spans="2:14" x14ac:dyDescent="0.25">
      <c r="B63" s="121">
        <v>1</v>
      </c>
      <c r="C63" s="122" t="s">
        <v>47</v>
      </c>
      <c r="D63" s="121"/>
      <c r="E63" s="121"/>
      <c r="F63" s="123"/>
      <c r="G63" s="123"/>
      <c r="H63" s="124"/>
      <c r="I63" s="77"/>
      <c r="J63" s="125"/>
      <c r="K63" s="126" t="s">
        <v>48</v>
      </c>
      <c r="L63" s="127" t="s">
        <v>49</v>
      </c>
    </row>
    <row r="64" spans="2:14" x14ac:dyDescent="0.25">
      <c r="B64" s="121"/>
      <c r="C64" s="122" t="s">
        <v>50</v>
      </c>
      <c r="D64" s="121" t="s">
        <v>51</v>
      </c>
      <c r="E64" s="121">
        <v>6</v>
      </c>
      <c r="F64" s="123">
        <v>225</v>
      </c>
      <c r="G64" s="123">
        <f>E64*F64</f>
        <v>1350</v>
      </c>
      <c r="H64" s="124"/>
      <c r="I64" s="77"/>
      <c r="J64" s="128" t="s">
        <v>52</v>
      </c>
      <c r="K64" s="129">
        <f>L57</f>
        <v>54046.540799999995</v>
      </c>
      <c r="L64" s="130">
        <f>K64/K68*100</f>
        <v>60.161082899492179</v>
      </c>
    </row>
    <row r="65" spans="2:13" x14ac:dyDescent="0.25">
      <c r="B65" s="121"/>
      <c r="C65" s="122" t="s">
        <v>53</v>
      </c>
      <c r="D65" s="121" t="s">
        <v>54</v>
      </c>
      <c r="E65" s="121">
        <v>3</v>
      </c>
      <c r="F65" s="123">
        <v>3500</v>
      </c>
      <c r="G65" s="123">
        <f>E65*F65</f>
        <v>10500</v>
      </c>
      <c r="H65" s="124"/>
      <c r="I65" s="77"/>
      <c r="J65" s="128" t="s">
        <v>55</v>
      </c>
      <c r="K65" s="129">
        <f>K98</f>
        <v>35048.678616000005</v>
      </c>
      <c r="L65" s="130">
        <f>(K65+K66)/K68*100</f>
        <v>39.838917100507814</v>
      </c>
    </row>
    <row r="66" spans="2:13" x14ac:dyDescent="0.25">
      <c r="B66" s="121"/>
      <c r="C66" s="122" t="s">
        <v>56</v>
      </c>
      <c r="D66" s="121" t="s">
        <v>54</v>
      </c>
      <c r="E66" s="121">
        <v>20</v>
      </c>
      <c r="F66" s="123">
        <v>100</v>
      </c>
      <c r="G66" s="123">
        <f>E66*F66</f>
        <v>2000</v>
      </c>
      <c r="H66" s="124"/>
      <c r="I66" s="77"/>
      <c r="J66" s="131" t="s">
        <v>57</v>
      </c>
      <c r="K66" s="132">
        <f>K115</f>
        <v>741.1635</v>
      </c>
      <c r="L66" s="133"/>
    </row>
    <row r="67" spans="2:13" x14ac:dyDescent="0.25">
      <c r="B67" s="121">
        <v>2</v>
      </c>
      <c r="C67" s="122" t="s">
        <v>58</v>
      </c>
      <c r="D67" s="121" t="s">
        <v>59</v>
      </c>
      <c r="E67" s="121">
        <v>20</v>
      </c>
      <c r="F67" s="123">
        <v>450</v>
      </c>
      <c r="G67" s="123">
        <f t="shared" ref="G67:G68" si="30">E67*F67</f>
        <v>9000</v>
      </c>
      <c r="H67" s="124"/>
      <c r="I67" s="77"/>
      <c r="J67" s="131"/>
      <c r="K67" s="131"/>
      <c r="L67" s="131"/>
    </row>
    <row r="68" spans="2:13" x14ac:dyDescent="0.25">
      <c r="B68" s="121"/>
      <c r="C68" s="122" t="s">
        <v>60</v>
      </c>
      <c r="D68" s="121" t="s">
        <v>59</v>
      </c>
      <c r="E68" s="121">
        <v>10</v>
      </c>
      <c r="F68" s="123">
        <v>220</v>
      </c>
      <c r="G68" s="123">
        <f t="shared" si="30"/>
        <v>2200</v>
      </c>
      <c r="H68" s="124"/>
      <c r="I68" s="77"/>
      <c r="J68" s="134" t="s">
        <v>61</v>
      </c>
      <c r="K68" s="135">
        <f>SUM(K64:K67)</f>
        <v>89836.382916000002</v>
      </c>
      <c r="L68" s="131"/>
    </row>
    <row r="69" spans="2:13" x14ac:dyDescent="0.25">
      <c r="B69" s="136">
        <v>3</v>
      </c>
      <c r="C69" s="137" t="s">
        <v>62</v>
      </c>
      <c r="D69" s="121" t="s">
        <v>63</v>
      </c>
      <c r="E69" s="136"/>
      <c r="F69" s="138"/>
      <c r="G69" s="138">
        <f>G83</f>
        <v>790</v>
      </c>
      <c r="H69" s="139"/>
    </row>
    <row r="70" spans="2:13" x14ac:dyDescent="0.25">
      <c r="B70" s="137"/>
      <c r="C70" s="137"/>
      <c r="D70" s="136"/>
      <c r="E70" s="136"/>
      <c r="F70" s="138"/>
      <c r="G70" s="138"/>
      <c r="H70" s="139"/>
    </row>
    <row r="71" spans="2:13" x14ac:dyDescent="0.25">
      <c r="B71" s="88"/>
      <c r="C71" s="140" t="s">
        <v>64</v>
      </c>
      <c r="D71" s="141"/>
      <c r="E71" s="141"/>
      <c r="F71" s="141"/>
      <c r="G71" s="142">
        <f>G64+G65+G66+G67+G68+G69</f>
        <v>25840</v>
      </c>
      <c r="H71" s="143"/>
    </row>
    <row r="72" spans="2:13" x14ac:dyDescent="0.25">
      <c r="B72" s="77"/>
      <c r="C72" s="77"/>
      <c r="D72" s="77"/>
      <c r="E72" s="77"/>
      <c r="F72" s="77"/>
      <c r="G72" s="77"/>
      <c r="H72" s="82"/>
    </row>
    <row r="73" spans="2:13" x14ac:dyDescent="0.25">
      <c r="B73" s="93"/>
      <c r="C73" s="144" t="s">
        <v>65</v>
      </c>
      <c r="D73" s="145"/>
      <c r="E73" s="145"/>
      <c r="F73" s="145"/>
      <c r="G73" s="145"/>
      <c r="H73" s="146"/>
      <c r="I73" s="89"/>
      <c r="M73" s="147"/>
    </row>
    <row r="74" spans="2:13" x14ac:dyDescent="0.25">
      <c r="B74" s="145"/>
      <c r="C74" s="145"/>
      <c r="D74" s="145"/>
      <c r="E74" s="145"/>
      <c r="F74" s="145"/>
      <c r="G74" s="145"/>
      <c r="H74" s="146"/>
      <c r="I74" s="89"/>
      <c r="M74" s="147"/>
    </row>
    <row r="75" spans="2:13" ht="126" x14ac:dyDescent="0.25">
      <c r="B75" s="148" t="s">
        <v>3</v>
      </c>
      <c r="C75" s="149" t="s">
        <v>66</v>
      </c>
      <c r="D75" s="150" t="s">
        <v>42</v>
      </c>
      <c r="E75" s="151" t="s">
        <v>67</v>
      </c>
      <c r="F75" s="150" t="s">
        <v>44</v>
      </c>
      <c r="G75" s="150" t="s">
        <v>68</v>
      </c>
      <c r="H75" s="152"/>
      <c r="I75" s="153"/>
      <c r="M75" s="147"/>
    </row>
    <row r="76" spans="2:13" x14ac:dyDescent="0.25">
      <c r="B76" s="154"/>
      <c r="C76" s="149"/>
      <c r="D76" s="155"/>
      <c r="E76" s="149"/>
      <c r="F76" s="149"/>
      <c r="G76" s="150"/>
      <c r="H76" s="152"/>
      <c r="I76" s="153"/>
      <c r="M76" s="147"/>
    </row>
    <row r="77" spans="2:13" x14ac:dyDescent="0.25">
      <c r="B77" s="154">
        <v>1</v>
      </c>
      <c r="C77" s="156" t="s">
        <v>69</v>
      </c>
      <c r="D77" s="157" t="s">
        <v>70</v>
      </c>
      <c r="E77" s="158">
        <v>2</v>
      </c>
      <c r="F77" s="159">
        <v>90</v>
      </c>
      <c r="G77" s="159">
        <f>E77*F77</f>
        <v>180</v>
      </c>
      <c r="H77" s="152"/>
      <c r="I77" s="153"/>
      <c r="M77" s="147"/>
    </row>
    <row r="78" spans="2:13" x14ac:dyDescent="0.25">
      <c r="B78" s="154">
        <v>2</v>
      </c>
      <c r="C78" s="160" t="s">
        <v>71</v>
      </c>
      <c r="D78" s="157" t="s">
        <v>72</v>
      </c>
      <c r="E78" s="136">
        <v>2</v>
      </c>
      <c r="F78" s="136">
        <v>15</v>
      </c>
      <c r="G78" s="159">
        <f t="shared" ref="G78:G82" si="31">E78*F78</f>
        <v>30</v>
      </c>
      <c r="H78" s="146"/>
      <c r="I78" s="89"/>
      <c r="J78" s="147"/>
      <c r="K78" s="147"/>
      <c r="L78" s="147"/>
      <c r="M78" s="147"/>
    </row>
    <row r="79" spans="2:13" x14ac:dyDescent="0.25">
      <c r="B79" s="154">
        <v>5</v>
      </c>
      <c r="C79" s="161" t="s">
        <v>73</v>
      </c>
      <c r="D79" s="157" t="s">
        <v>59</v>
      </c>
      <c r="E79" s="136">
        <v>2</v>
      </c>
      <c r="F79" s="136">
        <v>90</v>
      </c>
      <c r="G79" s="159">
        <f t="shared" si="31"/>
        <v>180</v>
      </c>
      <c r="H79" s="162"/>
      <c r="I79" s="145"/>
    </row>
    <row r="80" spans="2:13" x14ac:dyDescent="0.25">
      <c r="B80" s="154">
        <v>6</v>
      </c>
      <c r="C80" s="161" t="s">
        <v>74</v>
      </c>
      <c r="D80" s="157" t="s">
        <v>75</v>
      </c>
      <c r="E80" s="136">
        <v>0.3</v>
      </c>
      <c r="F80" s="136">
        <v>500</v>
      </c>
      <c r="G80" s="159">
        <f t="shared" si="31"/>
        <v>150</v>
      </c>
      <c r="H80" s="162"/>
      <c r="I80" s="145"/>
    </row>
    <row r="81" spans="2:11" x14ac:dyDescent="0.25">
      <c r="B81" s="154">
        <v>9</v>
      </c>
      <c r="C81" s="161" t="s">
        <v>76</v>
      </c>
      <c r="D81" s="157" t="s">
        <v>59</v>
      </c>
      <c r="E81" s="136">
        <v>1</v>
      </c>
      <c r="F81" s="136">
        <v>150</v>
      </c>
      <c r="G81" s="159">
        <f t="shared" si="31"/>
        <v>150</v>
      </c>
      <c r="H81" s="162"/>
      <c r="I81" s="145"/>
    </row>
    <row r="82" spans="2:11" x14ac:dyDescent="0.25">
      <c r="B82" s="154">
        <v>10</v>
      </c>
      <c r="C82" s="161" t="s">
        <v>77</v>
      </c>
      <c r="D82" s="157" t="s">
        <v>59</v>
      </c>
      <c r="E82" s="136">
        <v>1</v>
      </c>
      <c r="F82" s="136">
        <v>100</v>
      </c>
      <c r="G82" s="159">
        <f t="shared" si="31"/>
        <v>100</v>
      </c>
      <c r="H82" s="162"/>
      <c r="I82" s="145"/>
    </row>
    <row r="83" spans="2:11" x14ac:dyDescent="0.25">
      <c r="B83" s="163"/>
      <c r="C83" s="140" t="s">
        <v>78</v>
      </c>
      <c r="D83" s="164"/>
      <c r="E83" s="163"/>
      <c r="F83" s="118"/>
      <c r="G83" s="165">
        <f>SUM(G77:G82)</f>
        <v>790</v>
      </c>
      <c r="H83" s="162"/>
      <c r="I83" s="145"/>
    </row>
    <row r="84" spans="2:11" x14ac:dyDescent="0.25">
      <c r="B84" s="140"/>
      <c r="C84" s="140"/>
      <c r="D84" s="140"/>
      <c r="E84" s="140"/>
      <c r="F84" s="140"/>
      <c r="G84" s="142"/>
      <c r="H84" s="162"/>
      <c r="I84" s="145"/>
    </row>
    <row r="85" spans="2:11" x14ac:dyDescent="0.25">
      <c r="B85" s="89"/>
      <c r="C85" s="89"/>
      <c r="D85" s="89"/>
      <c r="E85" s="89"/>
      <c r="F85" s="89"/>
      <c r="G85" s="166"/>
      <c r="H85" s="162"/>
      <c r="I85" s="145"/>
    </row>
    <row r="86" spans="2:11" x14ac:dyDescent="0.25">
      <c r="B86" s="167"/>
      <c r="C86" s="507" t="s">
        <v>79</v>
      </c>
      <c r="D86" s="507"/>
      <c r="E86" s="507"/>
      <c r="F86" s="507"/>
      <c r="G86" s="77"/>
      <c r="H86" s="77"/>
    </row>
    <row r="87" spans="2:11" ht="16.5" thickBot="1" x14ac:dyDescent="0.3">
      <c r="B87" s="167"/>
      <c r="C87" s="77"/>
      <c r="D87" s="77"/>
      <c r="E87" s="77"/>
      <c r="F87" s="77"/>
      <c r="G87" s="77"/>
      <c r="H87" s="77"/>
      <c r="I87" s="77"/>
      <c r="J87" s="77"/>
    </row>
    <row r="88" spans="2:11" ht="16.5" thickBot="1" x14ac:dyDescent="0.3">
      <c r="C88" s="452" t="s">
        <v>80</v>
      </c>
      <c r="D88" s="452"/>
      <c r="E88" s="452"/>
      <c r="F88" s="452"/>
      <c r="I88" s="77"/>
      <c r="J88" s="77"/>
      <c r="K88" s="168" t="s">
        <v>81</v>
      </c>
    </row>
    <row r="89" spans="2:11" x14ac:dyDescent="0.25">
      <c r="B89" s="508"/>
      <c r="C89" s="508"/>
      <c r="D89" s="508"/>
      <c r="E89" s="508"/>
      <c r="F89" s="508"/>
      <c r="G89" s="508"/>
      <c r="H89" s="508"/>
      <c r="I89" s="77"/>
      <c r="J89" s="77"/>
    </row>
    <row r="90" spans="2:11" ht="94.5" x14ac:dyDescent="0.25">
      <c r="B90" s="83" t="s">
        <v>3</v>
      </c>
      <c r="C90" s="112" t="s">
        <v>27</v>
      </c>
      <c r="D90" s="112" t="s">
        <v>82</v>
      </c>
      <c r="E90" s="112" t="s">
        <v>83</v>
      </c>
      <c r="F90" s="112" t="s">
        <v>84</v>
      </c>
      <c r="G90" s="112" t="s">
        <v>32</v>
      </c>
      <c r="H90" s="112" t="s">
        <v>33</v>
      </c>
      <c r="I90" s="112" t="s">
        <v>34</v>
      </c>
      <c r="J90" s="112" t="s">
        <v>35</v>
      </c>
      <c r="K90" s="169" t="s">
        <v>36</v>
      </c>
    </row>
    <row r="91" spans="2:11" x14ac:dyDescent="0.25">
      <c r="B91" s="85">
        <v>1</v>
      </c>
      <c r="C91" s="85">
        <v>2</v>
      </c>
      <c r="D91" s="85">
        <v>3</v>
      </c>
      <c r="E91" s="85">
        <v>4</v>
      </c>
      <c r="F91" s="85">
        <v>5</v>
      </c>
      <c r="G91" s="85">
        <v>6</v>
      </c>
      <c r="H91" s="85">
        <v>7</v>
      </c>
      <c r="I91" s="85">
        <v>8</v>
      </c>
      <c r="J91" s="85">
        <v>9</v>
      </c>
      <c r="K91" s="170">
        <v>10</v>
      </c>
    </row>
    <row r="92" spans="2:11" x14ac:dyDescent="0.25">
      <c r="B92" s="85">
        <v>1</v>
      </c>
      <c r="C92" s="171" t="s">
        <v>85</v>
      </c>
      <c r="D92" s="85">
        <v>1</v>
      </c>
      <c r="E92" s="85"/>
      <c r="F92" s="85">
        <v>1320</v>
      </c>
      <c r="G92" s="85"/>
      <c r="H92" s="85">
        <f>F92*0.15</f>
        <v>198</v>
      </c>
      <c r="I92" s="172">
        <f t="shared" ref="I92:I93" si="32">H92+G92+F92</f>
        <v>1518</v>
      </c>
      <c r="J92" s="172">
        <f>I92*0.302</f>
        <v>458.43599999999998</v>
      </c>
      <c r="K92" s="173">
        <f>(I92+J92)*6</f>
        <v>11858.616</v>
      </c>
    </row>
    <row r="93" spans="2:11" x14ac:dyDescent="0.25">
      <c r="B93" s="85">
        <v>2</v>
      </c>
      <c r="C93" s="174" t="s">
        <v>86</v>
      </c>
      <c r="D93" s="85">
        <v>0.04</v>
      </c>
      <c r="E93" s="85"/>
      <c r="F93" s="85">
        <v>1037.76</v>
      </c>
      <c r="G93" s="85"/>
      <c r="H93" s="172">
        <f>(G93+F93)*0.15</f>
        <v>155.66399999999999</v>
      </c>
      <c r="I93" s="172">
        <f t="shared" si="32"/>
        <v>1193.424</v>
      </c>
      <c r="J93" s="172">
        <f t="shared" ref="J93:J97" si="33">I93*0.302</f>
        <v>360.41404799999998</v>
      </c>
      <c r="K93" s="173">
        <f>(I93+J93)*6</f>
        <v>9323.0282880000013</v>
      </c>
    </row>
    <row r="94" spans="2:11" x14ac:dyDescent="0.25">
      <c r="B94" s="85">
        <v>3</v>
      </c>
      <c r="C94" s="174" t="s">
        <v>87</v>
      </c>
      <c r="D94" s="85">
        <v>0.05</v>
      </c>
      <c r="E94" s="85">
        <v>5500</v>
      </c>
      <c r="F94" s="85">
        <f>E94*D94</f>
        <v>275</v>
      </c>
      <c r="G94" s="85">
        <f>F94*0.4</f>
        <v>110</v>
      </c>
      <c r="H94" s="172">
        <f>(G94+F94)*0.15</f>
        <v>57.75</v>
      </c>
      <c r="I94" s="172">
        <f>H94+G94+F94</f>
        <v>442.75</v>
      </c>
      <c r="J94" s="172">
        <f t="shared" si="33"/>
        <v>133.7105</v>
      </c>
      <c r="K94" s="173">
        <f>(I94+J94)*6</f>
        <v>3458.7629999999999</v>
      </c>
    </row>
    <row r="95" spans="2:11" x14ac:dyDescent="0.25">
      <c r="B95" s="85">
        <v>4</v>
      </c>
      <c r="C95" s="174" t="s">
        <v>88</v>
      </c>
      <c r="D95" s="85">
        <v>0.06</v>
      </c>
      <c r="E95" s="85">
        <v>5500</v>
      </c>
      <c r="F95" s="85">
        <f>E95*D95</f>
        <v>330</v>
      </c>
      <c r="G95" s="85">
        <f>F95*0.4</f>
        <v>132</v>
      </c>
      <c r="H95" s="172">
        <f>(G95+F95)*0.15</f>
        <v>69.3</v>
      </c>
      <c r="I95" s="172">
        <f t="shared" ref="I95:I97" si="34">H95+G95+F95</f>
        <v>531.29999999999995</v>
      </c>
      <c r="J95" s="172">
        <f t="shared" si="33"/>
        <v>160.45259999999999</v>
      </c>
      <c r="K95" s="173">
        <f t="shared" ref="K95:K97" si="35">(I95+J95)*6</f>
        <v>4150.5155999999997</v>
      </c>
    </row>
    <row r="96" spans="2:11" x14ac:dyDescent="0.25">
      <c r="B96" s="85">
        <v>5</v>
      </c>
      <c r="C96" s="174" t="s">
        <v>89</v>
      </c>
      <c r="D96" s="85">
        <v>0.02</v>
      </c>
      <c r="E96" s="85">
        <v>5500</v>
      </c>
      <c r="F96" s="85">
        <f>E96*D96</f>
        <v>110</v>
      </c>
      <c r="G96" s="85">
        <f>F96*0</f>
        <v>0</v>
      </c>
      <c r="H96" s="172">
        <f>(G96+F96)*0.15</f>
        <v>16.5</v>
      </c>
      <c r="I96" s="172">
        <f t="shared" si="34"/>
        <v>126.5</v>
      </c>
      <c r="J96" s="172">
        <f t="shared" si="33"/>
        <v>38.202999999999996</v>
      </c>
      <c r="K96" s="173">
        <f t="shared" si="35"/>
        <v>988.21800000000007</v>
      </c>
    </row>
    <row r="97" spans="2:11" x14ac:dyDescent="0.25">
      <c r="B97" s="85">
        <v>6</v>
      </c>
      <c r="C97" s="174" t="s">
        <v>90</v>
      </c>
      <c r="D97" s="85">
        <v>0.06</v>
      </c>
      <c r="E97" s="85">
        <v>7520</v>
      </c>
      <c r="F97" s="85">
        <f>E97*D97</f>
        <v>451.2</v>
      </c>
      <c r="G97" s="85">
        <f>F97*0.3</f>
        <v>135.35999999999999</v>
      </c>
      <c r="H97" s="172">
        <f t="shared" ref="H97" si="36">(G97+F97)*0.15</f>
        <v>87.983999999999995</v>
      </c>
      <c r="I97" s="172">
        <f t="shared" si="34"/>
        <v>674.54399999999998</v>
      </c>
      <c r="J97" s="172">
        <f t="shared" si="33"/>
        <v>203.712288</v>
      </c>
      <c r="K97" s="173">
        <f t="shared" si="35"/>
        <v>5269.5377280000002</v>
      </c>
    </row>
    <row r="98" spans="2:11" x14ac:dyDescent="0.25">
      <c r="B98" s="88"/>
      <c r="C98" s="175" t="s">
        <v>38</v>
      </c>
      <c r="D98" s="88"/>
      <c r="E98" s="88"/>
      <c r="F98" s="176"/>
      <c r="G98" s="88"/>
      <c r="H98" s="176"/>
      <c r="I98" s="177">
        <f>I92+I93+I94+I95+I96+I97</f>
        <v>4486.518</v>
      </c>
      <c r="J98" s="177">
        <f t="shared" ref="J98:K98" si="37">J92+J93+J94+J95+J96+J97</f>
        <v>1354.9284359999999</v>
      </c>
      <c r="K98" s="177">
        <f t="shared" si="37"/>
        <v>35048.678616000005</v>
      </c>
    </row>
    <row r="99" spans="2:11" x14ac:dyDescent="0.25">
      <c r="B99" s="82"/>
      <c r="C99" s="178"/>
      <c r="D99" s="82"/>
      <c r="E99" s="82"/>
      <c r="F99" s="179"/>
      <c r="G99" s="82"/>
      <c r="H99" s="179"/>
      <c r="I99" s="180"/>
      <c r="J99" s="180"/>
      <c r="K99" s="180"/>
    </row>
    <row r="100" spans="2:11" x14ac:dyDescent="0.25">
      <c r="B100" s="82"/>
      <c r="C100" s="509" t="s">
        <v>91</v>
      </c>
      <c r="D100" s="509"/>
      <c r="E100" s="509"/>
      <c r="F100" s="509"/>
      <c r="G100" s="509"/>
      <c r="H100" s="179"/>
      <c r="I100" s="180"/>
      <c r="J100" s="180"/>
      <c r="K100" s="180"/>
    </row>
    <row r="101" spans="2:11" x14ac:dyDescent="0.25">
      <c r="B101" s="82"/>
      <c r="C101" s="79" t="s">
        <v>92</v>
      </c>
      <c r="G101" s="77"/>
      <c r="H101" s="179"/>
      <c r="I101" s="180"/>
      <c r="J101" s="180"/>
      <c r="K101" s="180"/>
    </row>
    <row r="102" spans="2:11" x14ac:dyDescent="0.25">
      <c r="B102" s="82"/>
      <c r="C102" s="79" t="s">
        <v>93</v>
      </c>
      <c r="H102" s="181"/>
      <c r="I102" s="180"/>
      <c r="J102" s="180"/>
      <c r="K102" s="180"/>
    </row>
    <row r="103" spans="2:11" x14ac:dyDescent="0.25">
      <c r="B103" s="82"/>
      <c r="C103" s="508" t="s">
        <v>94</v>
      </c>
      <c r="D103" s="508"/>
      <c r="E103" s="508"/>
      <c r="F103" s="508"/>
      <c r="G103" s="508"/>
      <c r="H103" s="508"/>
      <c r="I103" s="508"/>
      <c r="J103" s="180"/>
      <c r="K103" s="180"/>
    </row>
    <row r="104" spans="2:11" x14ac:dyDescent="0.25">
      <c r="B104" s="82"/>
      <c r="C104" s="79" t="s">
        <v>95</v>
      </c>
      <c r="D104" s="82"/>
      <c r="E104" s="82"/>
      <c r="F104" s="179"/>
      <c r="G104" s="82"/>
      <c r="H104" s="179"/>
      <c r="I104" s="180"/>
      <c r="J104" s="180"/>
      <c r="K104" s="180"/>
    </row>
    <row r="105" spans="2:11" x14ac:dyDescent="0.25">
      <c r="B105" s="82"/>
      <c r="C105" s="82" t="s">
        <v>96</v>
      </c>
      <c r="D105" s="82"/>
      <c r="E105" s="82"/>
      <c r="F105" s="179"/>
      <c r="G105" s="82"/>
      <c r="H105" s="179"/>
      <c r="I105" s="180"/>
      <c r="J105" s="180"/>
      <c r="K105" s="180"/>
    </row>
    <row r="106" spans="2:11" x14ac:dyDescent="0.25">
      <c r="B106" s="82"/>
      <c r="C106" s="82" t="s">
        <v>97</v>
      </c>
      <c r="D106" s="82"/>
      <c r="E106" s="82"/>
      <c r="F106" s="179"/>
      <c r="G106" s="82"/>
      <c r="H106" s="179"/>
      <c r="I106" s="180"/>
      <c r="J106" s="180"/>
      <c r="K106" s="180"/>
    </row>
    <row r="107" spans="2:11" x14ac:dyDescent="0.25">
      <c r="B107" s="82"/>
      <c r="C107" s="82" t="s">
        <v>98</v>
      </c>
      <c r="D107" s="82"/>
      <c r="E107" s="82"/>
      <c r="F107" s="179"/>
      <c r="G107" s="82"/>
      <c r="H107" s="179"/>
      <c r="I107" s="180"/>
      <c r="J107" s="180"/>
      <c r="K107" s="180"/>
    </row>
    <row r="108" spans="2:11" ht="16.5" thickBot="1" x14ac:dyDescent="0.3">
      <c r="B108" s="82"/>
      <c r="C108" s="82"/>
      <c r="D108" s="82"/>
      <c r="E108" s="82"/>
      <c r="F108" s="179"/>
      <c r="G108" s="82"/>
      <c r="H108" s="179"/>
      <c r="I108" s="180"/>
      <c r="J108" s="180"/>
      <c r="K108" s="180"/>
    </row>
    <row r="109" spans="2:11" ht="16.5" thickBot="1" x14ac:dyDescent="0.3">
      <c r="B109" s="167"/>
      <c r="C109" s="452" t="s">
        <v>99</v>
      </c>
      <c r="D109" s="452"/>
      <c r="E109" s="452"/>
      <c r="F109" s="77"/>
      <c r="G109" s="77"/>
      <c r="H109" s="77"/>
      <c r="I109" s="77"/>
      <c r="J109" s="77"/>
      <c r="K109" s="168" t="s">
        <v>100</v>
      </c>
    </row>
    <row r="110" spans="2:11" x14ac:dyDescent="0.25">
      <c r="B110" s="167"/>
      <c r="C110" s="182"/>
      <c r="D110" s="90"/>
      <c r="E110" s="90"/>
      <c r="F110" s="77"/>
      <c r="G110" s="77"/>
      <c r="H110" s="77"/>
      <c r="I110" s="77"/>
      <c r="J110" s="77"/>
    </row>
    <row r="111" spans="2:11" ht="94.5" x14ac:dyDescent="0.25">
      <c r="B111" s="83" t="s">
        <v>3</v>
      </c>
      <c r="C111" s="112" t="s">
        <v>27</v>
      </c>
      <c r="D111" s="112" t="s">
        <v>82</v>
      </c>
      <c r="E111" s="112" t="s">
        <v>83</v>
      </c>
      <c r="F111" s="112" t="s">
        <v>84</v>
      </c>
      <c r="G111" s="112" t="s">
        <v>32</v>
      </c>
      <c r="H111" s="112" t="s">
        <v>33</v>
      </c>
      <c r="I111" s="112" t="s">
        <v>34</v>
      </c>
      <c r="J111" s="112" t="s">
        <v>35</v>
      </c>
      <c r="K111" s="169" t="s">
        <v>36</v>
      </c>
    </row>
    <row r="112" spans="2:11" x14ac:dyDescent="0.25">
      <c r="B112" s="85">
        <v>1</v>
      </c>
      <c r="C112" s="85">
        <v>2</v>
      </c>
      <c r="D112" s="85">
        <v>3</v>
      </c>
      <c r="E112" s="85">
        <v>4</v>
      </c>
      <c r="F112" s="85">
        <v>5</v>
      </c>
      <c r="G112" s="85">
        <v>6</v>
      </c>
      <c r="H112" s="85">
        <v>7</v>
      </c>
      <c r="I112" s="85">
        <v>8</v>
      </c>
      <c r="J112" s="85">
        <v>9</v>
      </c>
      <c r="K112" s="170">
        <v>10</v>
      </c>
    </row>
    <row r="113" spans="2:11" x14ac:dyDescent="0.25">
      <c r="B113" s="85">
        <v>1</v>
      </c>
      <c r="C113" s="171" t="s">
        <v>101</v>
      </c>
      <c r="D113" s="85">
        <v>1.4999999999999999E-2</v>
      </c>
      <c r="E113" s="85">
        <v>5500</v>
      </c>
      <c r="F113" s="85">
        <f t="shared" ref="F113" si="38">E113*D113</f>
        <v>82.5</v>
      </c>
      <c r="G113" s="85">
        <f>F113*0</f>
        <v>0</v>
      </c>
      <c r="H113" s="85">
        <f>F113*0.15</f>
        <v>12.375</v>
      </c>
      <c r="I113" s="172">
        <f t="shared" ref="I113" si="39">H113+G113+F113</f>
        <v>94.875</v>
      </c>
      <c r="J113" s="172">
        <f>I113*0.302</f>
        <v>28.652249999999999</v>
      </c>
      <c r="K113" s="173">
        <f>(I113+J113)*6</f>
        <v>741.1635</v>
      </c>
    </row>
    <row r="114" spans="2:11" x14ac:dyDescent="0.25">
      <c r="B114" s="85"/>
      <c r="C114" s="174"/>
      <c r="D114" s="85"/>
      <c r="E114" s="85"/>
      <c r="F114" s="85"/>
      <c r="G114" s="85"/>
      <c r="H114" s="172"/>
      <c r="I114" s="172"/>
      <c r="J114" s="172"/>
      <c r="K114" s="173"/>
    </row>
    <row r="115" spans="2:11" x14ac:dyDescent="0.25">
      <c r="B115" s="85"/>
      <c r="C115" s="174" t="s">
        <v>102</v>
      </c>
      <c r="D115" s="85"/>
      <c r="E115" s="85"/>
      <c r="F115" s="85"/>
      <c r="G115" s="85"/>
      <c r="H115" s="172"/>
      <c r="I115" s="142">
        <f>SUM(I113:I114)</f>
        <v>94.875</v>
      </c>
      <c r="J115" s="142">
        <f>SUM(J113:J114)</f>
        <v>28.652249999999999</v>
      </c>
      <c r="K115" s="183">
        <f>SUM(K113:K114)</f>
        <v>741.1635</v>
      </c>
    </row>
    <row r="116" spans="2:11" x14ac:dyDescent="0.25">
      <c r="B116" s="85"/>
      <c r="C116" s="174"/>
      <c r="D116" s="85"/>
      <c r="E116" s="85"/>
      <c r="F116" s="85"/>
      <c r="G116" s="85"/>
      <c r="H116" s="172"/>
      <c r="I116" s="172"/>
      <c r="J116" s="172"/>
      <c r="K116" s="173"/>
    </row>
    <row r="117" spans="2:11" x14ac:dyDescent="0.25">
      <c r="B117" s="167"/>
      <c r="C117" s="182"/>
      <c r="D117" s="90"/>
      <c r="E117" s="90"/>
      <c r="F117" s="77"/>
      <c r="G117" s="77"/>
      <c r="H117" s="77"/>
      <c r="I117" s="77"/>
      <c r="J117" s="77"/>
    </row>
    <row r="118" spans="2:11" x14ac:dyDescent="0.25">
      <c r="B118" s="167"/>
      <c r="C118" s="82" t="s">
        <v>103</v>
      </c>
      <c r="D118" s="77"/>
      <c r="E118" s="77"/>
      <c r="F118" s="77"/>
      <c r="G118" s="77"/>
      <c r="H118" s="77"/>
      <c r="I118" s="77"/>
      <c r="J118" s="77"/>
    </row>
    <row r="119" spans="2:11" x14ac:dyDescent="0.25">
      <c r="B119" s="77"/>
      <c r="F119" s="502"/>
      <c r="G119" s="502"/>
      <c r="H119" s="77"/>
      <c r="I119" s="77"/>
      <c r="J119" s="77"/>
    </row>
    <row r="120" spans="2:11" x14ac:dyDescent="0.25">
      <c r="B120" s="184"/>
      <c r="C120" s="185" t="s">
        <v>104</v>
      </c>
      <c r="D120" s="184"/>
      <c r="E120" s="184"/>
      <c r="F120" s="184"/>
      <c r="G120" s="184"/>
      <c r="H120" s="184"/>
      <c r="I120" s="184"/>
      <c r="J120" s="184"/>
    </row>
    <row r="121" spans="2:11" ht="16.5" thickBot="1" x14ac:dyDescent="0.3">
      <c r="B121" s="77"/>
      <c r="F121" s="77"/>
      <c r="G121" s="77"/>
      <c r="H121" s="77"/>
      <c r="I121" s="77"/>
      <c r="J121" s="77"/>
    </row>
    <row r="122" spans="2:11" ht="16.5" thickBot="1" x14ac:dyDescent="0.3">
      <c r="B122" s="186"/>
      <c r="C122" s="506" t="s">
        <v>105</v>
      </c>
      <c r="D122" s="506"/>
      <c r="E122" s="506"/>
      <c r="F122" s="186"/>
      <c r="G122" s="186"/>
      <c r="I122" s="187" t="s">
        <v>106</v>
      </c>
      <c r="J122" s="77"/>
    </row>
    <row r="123" spans="2:11" x14ac:dyDescent="0.25">
      <c r="B123" s="188"/>
      <c r="C123" s="188"/>
      <c r="D123" s="188"/>
      <c r="E123" s="188"/>
      <c r="F123" s="188"/>
      <c r="G123" s="188"/>
      <c r="H123" s="188"/>
      <c r="I123" s="188"/>
    </row>
    <row r="124" spans="2:11" ht="120" x14ac:dyDescent="0.25">
      <c r="B124" s="189" t="s">
        <v>3</v>
      </c>
      <c r="C124" s="190" t="s">
        <v>107</v>
      </c>
      <c r="D124" s="114" t="s">
        <v>108</v>
      </c>
      <c r="E124" s="114" t="s">
        <v>109</v>
      </c>
      <c r="F124" s="114" t="s">
        <v>110</v>
      </c>
      <c r="G124" s="114" t="s">
        <v>111</v>
      </c>
      <c r="H124" s="114" t="s">
        <v>112</v>
      </c>
      <c r="I124" s="114" t="s">
        <v>113</v>
      </c>
    </row>
    <row r="125" spans="2:11" x14ac:dyDescent="0.25">
      <c r="B125" s="115">
        <v>1</v>
      </c>
      <c r="C125" s="115">
        <v>2</v>
      </c>
      <c r="D125" s="115">
        <v>3</v>
      </c>
      <c r="E125" s="115">
        <v>4</v>
      </c>
      <c r="F125" s="115">
        <v>5</v>
      </c>
      <c r="G125" s="115">
        <v>6</v>
      </c>
      <c r="H125" s="115">
        <v>7</v>
      </c>
      <c r="I125" s="115">
        <v>8</v>
      </c>
    </row>
    <row r="126" spans="2:11" x14ac:dyDescent="0.25">
      <c r="B126" s="115">
        <v>1</v>
      </c>
      <c r="C126" s="191" t="s">
        <v>114</v>
      </c>
      <c r="D126" s="192">
        <v>15735242</v>
      </c>
      <c r="E126" s="115">
        <v>1</v>
      </c>
      <c r="F126" s="115">
        <v>1672</v>
      </c>
      <c r="G126" s="115">
        <v>72</v>
      </c>
      <c r="H126" s="193">
        <v>1.2999999999999999E-2</v>
      </c>
      <c r="I126" s="194">
        <f>((D126*E126)/(F126*G126))*H126</f>
        <v>1.6992137327219565</v>
      </c>
    </row>
    <row r="127" spans="2:11" x14ac:dyDescent="0.25">
      <c r="B127" s="191"/>
      <c r="C127" s="191"/>
      <c r="D127" s="195"/>
      <c r="E127" s="115"/>
      <c r="F127" s="115"/>
      <c r="G127" s="115"/>
      <c r="H127" s="196"/>
      <c r="I127" s="197"/>
    </row>
    <row r="128" spans="2:11" x14ac:dyDescent="0.25">
      <c r="B128" s="191"/>
      <c r="C128" s="141" t="s">
        <v>38</v>
      </c>
      <c r="D128" s="118"/>
      <c r="E128" s="118"/>
      <c r="F128" s="198"/>
      <c r="G128" s="118"/>
      <c r="H128" s="118" t="s">
        <v>115</v>
      </c>
      <c r="I128" s="199">
        <f>I126</f>
        <v>1.6992137327219565</v>
      </c>
    </row>
    <row r="129" spans="2:11" x14ac:dyDescent="0.25">
      <c r="B129" s="167"/>
      <c r="C129" s="167"/>
      <c r="D129" s="200"/>
      <c r="E129" s="200"/>
      <c r="F129" s="200"/>
      <c r="G129" s="200"/>
      <c r="H129" s="200"/>
      <c r="I129" s="186"/>
    </row>
    <row r="130" spans="2:11" x14ac:dyDescent="0.25">
      <c r="C130" s="79" t="s">
        <v>116</v>
      </c>
      <c r="F130" s="200" t="s">
        <v>117</v>
      </c>
    </row>
    <row r="131" spans="2:11" x14ac:dyDescent="0.25">
      <c r="C131" s="92" t="s">
        <v>118</v>
      </c>
      <c r="D131" s="201"/>
      <c r="E131" s="93"/>
      <c r="F131" s="202"/>
      <c r="G131" s="201"/>
      <c r="H131" s="203"/>
      <c r="I131" s="95"/>
      <c r="J131" s="97"/>
    </row>
    <row r="132" spans="2:11" x14ac:dyDescent="0.25">
      <c r="C132" s="92" t="s">
        <v>119</v>
      </c>
      <c r="D132" s="201"/>
      <c r="E132" s="93"/>
      <c r="F132" s="202"/>
      <c r="G132" s="201"/>
      <c r="H132" s="203"/>
      <c r="I132" s="95"/>
      <c r="J132" s="97"/>
    </row>
    <row r="133" spans="2:11" ht="16.5" thickBot="1" x14ac:dyDescent="0.3">
      <c r="C133" s="202"/>
      <c r="D133" s="201"/>
      <c r="E133" s="201"/>
      <c r="F133" s="202"/>
      <c r="G133" s="201"/>
      <c r="H133" s="203"/>
      <c r="I133" s="96"/>
      <c r="J133" s="96"/>
      <c r="K133" s="97"/>
    </row>
    <row r="134" spans="2:11" ht="16.5" thickBot="1" x14ac:dyDescent="0.3">
      <c r="C134" s="204" t="s">
        <v>120</v>
      </c>
      <c r="I134" s="205" t="s">
        <v>121</v>
      </c>
    </row>
    <row r="135" spans="2:11" x14ac:dyDescent="0.25">
      <c r="B135" s="206"/>
      <c r="C135" s="206"/>
      <c r="I135" s="207"/>
    </row>
    <row r="136" spans="2:11" x14ac:dyDescent="0.25">
      <c r="B136" s="206"/>
      <c r="C136" s="206" t="s">
        <v>122</v>
      </c>
      <c r="I136" s="207"/>
    </row>
    <row r="137" spans="2:11" x14ac:dyDescent="0.25">
      <c r="B137" s="206"/>
      <c r="C137" s="208" t="s">
        <v>123</v>
      </c>
      <c r="I137" s="207"/>
    </row>
    <row r="138" spans="2:11" x14ac:dyDescent="0.25">
      <c r="B138" s="206"/>
      <c r="C138" s="208" t="s">
        <v>19</v>
      </c>
      <c r="I138" s="207"/>
    </row>
    <row r="139" spans="2:11" x14ac:dyDescent="0.25">
      <c r="B139" s="206"/>
      <c r="C139" s="186" t="s">
        <v>124</v>
      </c>
      <c r="D139" s="209"/>
      <c r="E139" s="209"/>
      <c r="F139" s="186"/>
      <c r="I139" s="207"/>
    </row>
    <row r="140" spans="2:11" x14ac:dyDescent="0.25">
      <c r="B140" s="206"/>
      <c r="C140" s="502" t="s">
        <v>125</v>
      </c>
      <c r="D140" s="502"/>
      <c r="E140" s="502"/>
      <c r="F140" s="502"/>
      <c r="G140" s="502"/>
      <c r="I140" s="207"/>
    </row>
    <row r="141" spans="2:11" x14ac:dyDescent="0.25">
      <c r="C141" s="504" t="s">
        <v>126</v>
      </c>
      <c r="D141" s="504"/>
      <c r="E141" s="504"/>
      <c r="F141" s="504"/>
      <c r="G141" s="504"/>
      <c r="H141" s="504"/>
      <c r="I141" s="210"/>
    </row>
    <row r="142" spans="2:11" x14ac:dyDescent="0.25">
      <c r="B142" s="206"/>
      <c r="C142" s="206"/>
      <c r="I142" s="207"/>
    </row>
    <row r="143" spans="2:11" x14ac:dyDescent="0.25">
      <c r="C143" s="211" t="s">
        <v>127</v>
      </c>
      <c r="D143" s="211"/>
      <c r="E143" s="186"/>
      <c r="F143" s="186"/>
      <c r="G143" s="186"/>
      <c r="I143" s="212"/>
    </row>
    <row r="144" spans="2:11" x14ac:dyDescent="0.25">
      <c r="C144" s="211"/>
      <c r="D144" s="211"/>
      <c r="E144" s="186"/>
      <c r="F144" s="186"/>
      <c r="G144" s="186"/>
      <c r="I144" s="212"/>
    </row>
    <row r="145" spans="2:10" x14ac:dyDescent="0.25">
      <c r="C145" s="145" t="s">
        <v>128</v>
      </c>
      <c r="D145" s="145"/>
      <c r="E145" s="145"/>
      <c r="F145" s="145"/>
      <c r="G145" s="145"/>
      <c r="H145" s="93"/>
      <c r="I145" s="207"/>
    </row>
    <row r="146" spans="2:10" x14ac:dyDescent="0.25">
      <c r="C146" s="162" t="s">
        <v>129</v>
      </c>
      <c r="D146" s="162"/>
      <c r="E146" s="162"/>
      <c r="F146" s="162"/>
      <c r="G146" s="162"/>
      <c r="I146" s="95"/>
    </row>
    <row r="147" spans="2:10" x14ac:dyDescent="0.25">
      <c r="C147" s="209" t="s">
        <v>130</v>
      </c>
      <c r="D147" s="209"/>
      <c r="E147" s="209"/>
      <c r="F147" s="209"/>
      <c r="G147" s="186"/>
      <c r="I147" s="101"/>
    </row>
    <row r="148" spans="2:10" x14ac:dyDescent="0.25">
      <c r="C148" s="79" t="s">
        <v>131</v>
      </c>
      <c r="D148" s="162"/>
      <c r="E148" s="162"/>
      <c r="F148" s="162"/>
      <c r="G148" s="186"/>
      <c r="H148" s="162"/>
      <c r="I148" s="207"/>
    </row>
    <row r="149" spans="2:10" x14ac:dyDescent="0.25">
      <c r="B149" s="186"/>
      <c r="C149" s="213" t="s">
        <v>132</v>
      </c>
      <c r="D149" s="186"/>
      <c r="E149" s="186"/>
      <c r="F149" s="186"/>
      <c r="G149" s="186"/>
      <c r="I149" s="214">
        <v>385.46</v>
      </c>
    </row>
    <row r="150" spans="2:10" x14ac:dyDescent="0.25">
      <c r="C150" s="79" t="s">
        <v>133</v>
      </c>
      <c r="D150" s="209"/>
      <c r="E150" s="209"/>
      <c r="F150" s="186"/>
      <c r="G150" s="186"/>
      <c r="I150" s="207"/>
    </row>
    <row r="152" spans="2:10" x14ac:dyDescent="0.25">
      <c r="C152" s="215" t="s">
        <v>134</v>
      </c>
      <c r="D152" s="215"/>
      <c r="E152" s="167"/>
      <c r="F152" s="186"/>
      <c r="G152" s="186"/>
      <c r="H152" s="77"/>
      <c r="I152" s="77"/>
    </row>
    <row r="153" spans="2:10" x14ac:dyDescent="0.25">
      <c r="C153" s="215"/>
      <c r="D153" s="215"/>
      <c r="E153" s="167"/>
      <c r="F153" s="186"/>
      <c r="G153" s="186"/>
      <c r="H153" s="77"/>
      <c r="I153" s="77"/>
    </row>
    <row r="154" spans="2:10" x14ac:dyDescent="0.25">
      <c r="C154" s="162" t="s">
        <v>135</v>
      </c>
      <c r="D154" s="162"/>
      <c r="E154" s="162"/>
      <c r="F154" s="162"/>
      <c r="G154" s="162"/>
      <c r="H154" s="162"/>
      <c r="I154" s="90"/>
      <c r="J154" s="93"/>
    </row>
    <row r="155" spans="2:10" x14ac:dyDescent="0.25">
      <c r="C155" s="103" t="s">
        <v>136</v>
      </c>
      <c r="E155" s="186"/>
      <c r="F155" s="186"/>
      <c r="G155" s="186"/>
      <c r="H155" s="77"/>
      <c r="I155" s="90"/>
      <c r="J155" s="93"/>
    </row>
    <row r="156" spans="2:10" x14ac:dyDescent="0.25">
      <c r="C156" s="162" t="s">
        <v>137</v>
      </c>
      <c r="D156" s="162"/>
      <c r="E156" s="162"/>
      <c r="F156" s="162"/>
      <c r="G156" s="216"/>
      <c r="H156" s="77"/>
      <c r="I156" s="90"/>
      <c r="J156" s="93"/>
    </row>
    <row r="157" spans="2:10" x14ac:dyDescent="0.25">
      <c r="C157" s="186" t="s">
        <v>138</v>
      </c>
      <c r="D157" s="186"/>
      <c r="E157" s="186"/>
      <c r="F157" s="186"/>
      <c r="G157" s="186"/>
      <c r="H157" s="77"/>
      <c r="I157" s="90"/>
      <c r="J157" s="93"/>
    </row>
    <row r="158" spans="2:10" x14ac:dyDescent="0.25">
      <c r="C158" s="501" t="s">
        <v>139</v>
      </c>
      <c r="D158" s="501"/>
      <c r="E158" s="501"/>
      <c r="F158" s="501"/>
      <c r="G158" s="186"/>
      <c r="H158" s="77"/>
      <c r="I158" s="77"/>
    </row>
    <row r="159" spans="2:10" x14ac:dyDescent="0.25">
      <c r="C159" s="502" t="s">
        <v>125</v>
      </c>
      <c r="D159" s="502"/>
      <c r="E159" s="502"/>
      <c r="F159" s="502"/>
      <c r="G159" s="502"/>
      <c r="H159" s="77"/>
      <c r="I159" s="77"/>
    </row>
    <row r="160" spans="2:10" x14ac:dyDescent="0.25">
      <c r="C160" s="502" t="s">
        <v>140</v>
      </c>
      <c r="D160" s="502"/>
      <c r="E160" s="502"/>
      <c r="F160" s="502"/>
      <c r="G160" s="502"/>
      <c r="H160" s="77"/>
      <c r="I160" s="77"/>
    </row>
    <row r="161" spans="2:11" x14ac:dyDescent="0.25">
      <c r="B161" s="186"/>
      <c r="C161" s="79" t="s">
        <v>141</v>
      </c>
      <c r="E161" s="167"/>
      <c r="F161" s="186"/>
      <c r="G161" s="503"/>
      <c r="H161" s="503"/>
      <c r="I161" s="77"/>
    </row>
    <row r="162" spans="2:11" x14ac:dyDescent="0.25">
      <c r="C162" s="215" t="s">
        <v>142</v>
      </c>
      <c r="D162" s="215"/>
      <c r="E162" s="167"/>
      <c r="F162" s="186"/>
      <c r="G162" s="186"/>
      <c r="H162" s="77"/>
    </row>
    <row r="163" spans="2:11" x14ac:dyDescent="0.25">
      <c r="B163" s="186"/>
      <c r="C163" s="79" t="s">
        <v>143</v>
      </c>
      <c r="G163" s="162"/>
      <c r="I163" s="214">
        <v>470.59</v>
      </c>
      <c r="J163" s="162"/>
    </row>
    <row r="164" spans="2:11" x14ac:dyDescent="0.25">
      <c r="C164" s="186"/>
      <c r="D164" s="167"/>
      <c r="E164" s="167"/>
      <c r="F164" s="186"/>
      <c r="G164" s="186"/>
      <c r="H164" s="77"/>
    </row>
    <row r="165" spans="2:11" x14ac:dyDescent="0.25">
      <c r="C165" s="209" t="s">
        <v>144</v>
      </c>
      <c r="D165" s="209"/>
      <c r="E165" s="209"/>
      <c r="F165" s="186"/>
      <c r="G165" s="186"/>
      <c r="H165" s="77"/>
    </row>
    <row r="166" spans="2:11" x14ac:dyDescent="0.25">
      <c r="G166" s="186"/>
      <c r="H166" s="77"/>
    </row>
    <row r="167" spans="2:11" x14ac:dyDescent="0.25">
      <c r="B167" s="217"/>
      <c r="C167" s="162" t="s">
        <v>145</v>
      </c>
      <c r="D167" s="162"/>
      <c r="E167" s="162"/>
      <c r="F167" s="162"/>
      <c r="G167" s="162"/>
      <c r="H167" s="162"/>
    </row>
    <row r="168" spans="2:11" x14ac:dyDescent="0.25">
      <c r="C168" s="186" t="s">
        <v>146</v>
      </c>
      <c r="E168" s="186"/>
      <c r="F168" s="186"/>
      <c r="G168" s="186"/>
      <c r="H168" s="77"/>
      <c r="J168" s="93"/>
    </row>
    <row r="169" spans="2:11" x14ac:dyDescent="0.25">
      <c r="C169" s="79" t="s">
        <v>147</v>
      </c>
      <c r="H169" s="77"/>
    </row>
    <row r="170" spans="2:11" x14ac:dyDescent="0.25">
      <c r="B170" s="502"/>
      <c r="C170" s="502"/>
      <c r="D170" s="502"/>
      <c r="E170" s="502"/>
      <c r="F170" s="502"/>
      <c r="G170" s="186"/>
      <c r="H170" s="77"/>
      <c r="I170" s="218">
        <v>1.19</v>
      </c>
    </row>
    <row r="171" spans="2:11" x14ac:dyDescent="0.25">
      <c r="C171" s="209" t="s">
        <v>148</v>
      </c>
      <c r="D171" s="209"/>
      <c r="E171" s="209"/>
      <c r="F171" s="209"/>
      <c r="G171" s="186"/>
      <c r="H171" s="77"/>
    </row>
    <row r="172" spans="2:11" x14ac:dyDescent="0.25">
      <c r="C172" s="504" t="s">
        <v>149</v>
      </c>
      <c r="D172" s="504"/>
      <c r="E172" s="504"/>
      <c r="F172" s="504"/>
      <c r="G172" s="504"/>
      <c r="H172" s="504"/>
      <c r="I172" s="504"/>
      <c r="J172" s="93"/>
      <c r="K172" s="93"/>
    </row>
    <row r="173" spans="2:11" x14ac:dyDescent="0.25">
      <c r="C173" s="162" t="s">
        <v>150</v>
      </c>
      <c r="D173" s="162"/>
      <c r="E173" s="162"/>
      <c r="F173" s="162"/>
      <c r="G173" s="162"/>
      <c r="H173" s="162"/>
      <c r="I173" s="93"/>
      <c r="J173" s="93"/>
      <c r="K173" s="93"/>
    </row>
    <row r="174" spans="2:11" x14ac:dyDescent="0.25">
      <c r="C174" s="162" t="s">
        <v>151</v>
      </c>
      <c r="D174" s="162"/>
      <c r="E174" s="162"/>
      <c r="F174" s="162"/>
      <c r="G174" s="162"/>
      <c r="I174" s="219">
        <v>59.91</v>
      </c>
      <c r="J174" s="93"/>
      <c r="K174" s="93"/>
    </row>
    <row r="175" spans="2:11" x14ac:dyDescent="0.25">
      <c r="B175" s="217"/>
      <c r="C175" s="162"/>
      <c r="D175" s="186"/>
      <c r="E175" s="186"/>
      <c r="F175" s="186"/>
      <c r="G175" s="186"/>
      <c r="I175" s="77"/>
      <c r="J175" s="93"/>
      <c r="K175" s="93"/>
    </row>
    <row r="176" spans="2:11" x14ac:dyDescent="0.25">
      <c r="C176" s="162" t="s">
        <v>152</v>
      </c>
      <c r="D176" s="220"/>
      <c r="E176" s="220"/>
      <c r="F176" s="220"/>
      <c r="G176" s="220"/>
      <c r="I176" s="77"/>
      <c r="J176" s="93"/>
      <c r="K176" s="93"/>
    </row>
    <row r="177" spans="2:10" x14ac:dyDescent="0.25">
      <c r="B177" s="217"/>
      <c r="C177" s="146" t="s">
        <v>153</v>
      </c>
      <c r="D177" s="186"/>
      <c r="E177" s="186"/>
      <c r="F177" s="186"/>
      <c r="G177" s="186"/>
      <c r="I177" s="219">
        <v>32.42</v>
      </c>
    </row>
    <row r="178" spans="2:10" x14ac:dyDescent="0.25">
      <c r="D178" s="162"/>
      <c r="E178" s="162"/>
      <c r="F178" s="162"/>
      <c r="G178" s="162"/>
      <c r="I178" s="90"/>
    </row>
    <row r="179" spans="2:10" x14ac:dyDescent="0.25">
      <c r="B179" s="217"/>
      <c r="C179" s="217" t="s">
        <v>154</v>
      </c>
      <c r="D179" s="217"/>
      <c r="E179" s="217"/>
      <c r="F179" s="217"/>
      <c r="G179" s="110"/>
      <c r="I179" s="221">
        <f>I177+I174+I170+I163+I149</f>
        <v>949.56999999999994</v>
      </c>
    </row>
    <row r="180" spans="2:10" ht="16.5" thickBot="1" x14ac:dyDescent="0.3">
      <c r="B180" s="217"/>
      <c r="C180" s="217"/>
      <c r="D180" s="217"/>
      <c r="E180" s="217"/>
      <c r="F180" s="217"/>
      <c r="G180" s="110"/>
      <c r="I180" s="90"/>
    </row>
    <row r="181" spans="2:10" ht="16.5" thickBot="1" x14ac:dyDescent="0.3">
      <c r="B181" s="505" t="s">
        <v>155</v>
      </c>
      <c r="C181" s="505"/>
      <c r="D181" s="505"/>
      <c r="E181" s="77"/>
      <c r="F181" s="77"/>
      <c r="G181" s="222" t="s">
        <v>156</v>
      </c>
      <c r="H181" s="77"/>
    </row>
    <row r="182" spans="2:10" x14ac:dyDescent="0.25">
      <c r="G182" s="110"/>
    </row>
    <row r="183" spans="2:10" ht="31.5" x14ac:dyDescent="0.25">
      <c r="B183" s="175" t="s">
        <v>3</v>
      </c>
      <c r="C183" s="223" t="s">
        <v>157</v>
      </c>
      <c r="D183" s="223" t="s">
        <v>42</v>
      </c>
      <c r="E183" s="223" t="s">
        <v>158</v>
      </c>
      <c r="F183" s="223" t="s">
        <v>159</v>
      </c>
      <c r="G183" s="223" t="s">
        <v>160</v>
      </c>
      <c r="H183" s="77"/>
    </row>
    <row r="184" spans="2:10" x14ac:dyDescent="0.25">
      <c r="B184" s="175"/>
      <c r="C184" s="223"/>
      <c r="D184" s="223"/>
      <c r="E184" s="223"/>
      <c r="F184" s="223"/>
      <c r="G184" s="223"/>
      <c r="H184" s="77"/>
    </row>
    <row r="185" spans="2:10" x14ac:dyDescent="0.25">
      <c r="B185" s="85">
        <v>1</v>
      </c>
      <c r="C185" s="174" t="s">
        <v>161</v>
      </c>
      <c r="D185" s="224" t="s">
        <v>59</v>
      </c>
      <c r="E185" s="224">
        <v>3</v>
      </c>
      <c r="F185" s="224">
        <v>280</v>
      </c>
      <c r="G185" s="224">
        <v>560</v>
      </c>
      <c r="H185" s="77"/>
    </row>
    <row r="186" spans="2:10" ht="45.75" x14ac:dyDescent="0.25">
      <c r="B186" s="85">
        <v>2</v>
      </c>
      <c r="C186" s="174" t="s">
        <v>162</v>
      </c>
      <c r="D186" s="224" t="s">
        <v>163</v>
      </c>
      <c r="E186" s="223"/>
      <c r="F186" s="223"/>
      <c r="G186" s="224">
        <v>58.15</v>
      </c>
      <c r="H186" s="77"/>
    </row>
    <row r="187" spans="2:10" ht="30.75" x14ac:dyDescent="0.25">
      <c r="B187" s="85">
        <v>3</v>
      </c>
      <c r="C187" s="174" t="s">
        <v>164</v>
      </c>
      <c r="D187" s="224" t="s">
        <v>163</v>
      </c>
      <c r="E187" s="223"/>
      <c r="F187" s="223"/>
      <c r="G187" s="224">
        <v>642</v>
      </c>
      <c r="H187" s="77"/>
    </row>
    <row r="188" spans="2:10" x14ac:dyDescent="0.25">
      <c r="B188" s="85">
        <v>4</v>
      </c>
      <c r="C188" s="174" t="s">
        <v>165</v>
      </c>
      <c r="D188" s="224" t="s">
        <v>163</v>
      </c>
      <c r="E188" s="223"/>
      <c r="F188" s="223"/>
      <c r="G188" s="224">
        <v>334.9</v>
      </c>
      <c r="H188" s="77"/>
    </row>
    <row r="189" spans="2:10" x14ac:dyDescent="0.25">
      <c r="B189" s="85">
        <v>5</v>
      </c>
      <c r="C189" s="137" t="s">
        <v>166</v>
      </c>
      <c r="D189" s="224" t="s">
        <v>163</v>
      </c>
      <c r="E189" s="223"/>
      <c r="F189" s="223"/>
      <c r="G189" s="225">
        <v>34084.959999999999</v>
      </c>
      <c r="H189" s="226"/>
    </row>
    <row r="190" spans="2:10" ht="30.75" x14ac:dyDescent="0.25">
      <c r="B190" s="136">
        <v>6</v>
      </c>
      <c r="C190" s="174" t="s">
        <v>167</v>
      </c>
      <c r="D190" s="224" t="s">
        <v>168</v>
      </c>
      <c r="E190" s="136"/>
      <c r="F190" s="136"/>
      <c r="G190" s="225">
        <v>3692.31</v>
      </c>
      <c r="H190" s="227"/>
      <c r="I190" s="77"/>
      <c r="J190" s="77"/>
    </row>
    <row r="191" spans="2:10" x14ac:dyDescent="0.25">
      <c r="B191" s="85"/>
      <c r="C191" s="228" t="s">
        <v>38</v>
      </c>
      <c r="D191" s="118"/>
      <c r="E191" s="118"/>
      <c r="F191" s="118"/>
      <c r="G191" s="142">
        <f>G185+G186+G187+G188+G189+G190</f>
        <v>39372.32</v>
      </c>
      <c r="H191" s="77"/>
      <c r="I191" s="77"/>
      <c r="J191" s="77"/>
    </row>
    <row r="192" spans="2:10" x14ac:dyDescent="0.25">
      <c r="B192" s="184"/>
      <c r="C192" s="178"/>
      <c r="D192" s="184"/>
      <c r="E192" s="184"/>
      <c r="F192" s="184"/>
      <c r="G192" s="229"/>
      <c r="H192" s="77"/>
      <c r="I192" s="77"/>
      <c r="J192" s="77"/>
    </row>
    <row r="193" spans="2:10" x14ac:dyDescent="0.25">
      <c r="B193" s="184"/>
      <c r="C193" s="178" t="s">
        <v>169</v>
      </c>
      <c r="D193" s="184"/>
      <c r="E193" s="184"/>
      <c r="F193" s="184"/>
      <c r="G193" s="229"/>
      <c r="H193" s="77"/>
      <c r="I193" s="77"/>
      <c r="J193" s="77"/>
    </row>
    <row r="194" spans="2:10" x14ac:dyDescent="0.25">
      <c r="B194" s="184"/>
      <c r="C194" s="82" t="s">
        <v>170</v>
      </c>
      <c r="D194" s="184"/>
      <c r="E194" s="184"/>
      <c r="F194" s="184"/>
      <c r="G194" s="230"/>
      <c r="H194" s="77"/>
      <c r="I194" s="77"/>
      <c r="J194" s="77"/>
    </row>
    <row r="195" spans="2:10" x14ac:dyDescent="0.25">
      <c r="B195" s="184"/>
      <c r="C195" s="82" t="s">
        <v>171</v>
      </c>
      <c r="D195" s="184"/>
      <c r="E195" s="184"/>
      <c r="F195" s="184"/>
      <c r="G195" s="230"/>
      <c r="H195" s="77"/>
      <c r="I195" s="77"/>
      <c r="J195" s="77"/>
    </row>
    <row r="196" spans="2:10" x14ac:dyDescent="0.25">
      <c r="B196" s="184"/>
      <c r="C196" s="82" t="s">
        <v>172</v>
      </c>
      <c r="D196" s="184"/>
      <c r="E196" s="184"/>
      <c r="F196" s="184"/>
      <c r="G196" s="230"/>
      <c r="H196" s="77"/>
      <c r="I196" s="77"/>
      <c r="J196" s="77"/>
    </row>
    <row r="197" spans="2:10" x14ac:dyDescent="0.25">
      <c r="B197" s="184"/>
      <c r="C197" s="82" t="s">
        <v>173</v>
      </c>
      <c r="D197" s="184"/>
      <c r="E197" s="184"/>
      <c r="F197" s="184"/>
      <c r="G197" s="230"/>
      <c r="H197" s="77"/>
      <c r="I197" s="77"/>
      <c r="J197" s="77"/>
    </row>
    <row r="198" spans="2:10" x14ac:dyDescent="0.25">
      <c r="B198" s="184"/>
      <c r="C198" s="82" t="s">
        <v>174</v>
      </c>
      <c r="D198" s="184"/>
      <c r="E198" s="184"/>
      <c r="F198" s="184"/>
      <c r="G198" s="230"/>
      <c r="H198" s="77"/>
      <c r="I198" s="77"/>
      <c r="J198" s="77"/>
    </row>
    <row r="199" spans="2:10" x14ac:dyDescent="0.25">
      <c r="B199" s="184"/>
      <c r="C199" s="82" t="s">
        <v>175</v>
      </c>
      <c r="D199" s="184"/>
      <c r="E199" s="184" t="s">
        <v>176</v>
      </c>
      <c r="F199" s="184"/>
      <c r="G199" s="230"/>
      <c r="H199" s="77"/>
      <c r="I199" s="77"/>
      <c r="J199" s="77"/>
    </row>
    <row r="200" spans="2:10" x14ac:dyDescent="0.25">
      <c r="B200" s="184"/>
      <c r="C200" s="178"/>
      <c r="D200" s="184"/>
      <c r="E200" s="184"/>
      <c r="F200" s="184"/>
      <c r="G200" s="229"/>
      <c r="H200" s="77"/>
      <c r="I200" s="77"/>
      <c r="J200" s="77"/>
    </row>
    <row r="201" spans="2:10" x14ac:dyDescent="0.25">
      <c r="B201" s="184"/>
      <c r="C201" s="178" t="s">
        <v>177</v>
      </c>
      <c r="D201" s="184"/>
      <c r="E201" s="184"/>
      <c r="F201" s="184"/>
      <c r="G201" s="229"/>
      <c r="H201" s="77"/>
      <c r="I201" s="77"/>
      <c r="J201" s="77"/>
    </row>
    <row r="202" spans="2:10" x14ac:dyDescent="0.25">
      <c r="B202" s="184"/>
      <c r="C202" s="178"/>
      <c r="D202" s="184"/>
      <c r="E202" s="184"/>
      <c r="F202" s="184"/>
      <c r="G202" s="229"/>
      <c r="H202" s="77"/>
      <c r="I202" s="77"/>
      <c r="J202" s="77"/>
    </row>
    <row r="203" spans="2:10" x14ac:dyDescent="0.25">
      <c r="B203" s="184"/>
      <c r="C203" s="82" t="s">
        <v>178</v>
      </c>
      <c r="D203" s="184"/>
      <c r="E203" s="184"/>
      <c r="F203" s="184"/>
      <c r="G203" s="229"/>
      <c r="H203" s="77"/>
      <c r="I203" s="77"/>
      <c r="J203" s="77"/>
    </row>
    <row r="204" spans="2:10" x14ac:dyDescent="0.25">
      <c r="B204" s="184"/>
      <c r="C204" s="82" t="s">
        <v>179</v>
      </c>
      <c r="D204" s="184"/>
      <c r="E204" s="184"/>
      <c r="F204" s="184"/>
      <c r="G204" s="229"/>
      <c r="H204" s="77"/>
      <c r="I204" s="77"/>
      <c r="J204" s="77"/>
    </row>
    <row r="205" spans="2:10" x14ac:dyDescent="0.25">
      <c r="B205" s="184"/>
      <c r="C205" s="82" t="s">
        <v>180</v>
      </c>
      <c r="D205" s="184"/>
      <c r="E205" s="184"/>
      <c r="F205" s="184"/>
      <c r="G205" s="229"/>
      <c r="H205" s="77"/>
      <c r="I205" s="77"/>
      <c r="J205" s="77"/>
    </row>
    <row r="206" spans="2:10" x14ac:dyDescent="0.25">
      <c r="B206" s="184"/>
      <c r="C206" s="82" t="s">
        <v>181</v>
      </c>
      <c r="D206" s="184"/>
      <c r="E206" s="184"/>
      <c r="F206" s="184"/>
      <c r="G206" s="229"/>
      <c r="H206" s="77"/>
      <c r="I206" s="77"/>
      <c r="J206" s="77"/>
    </row>
    <row r="207" spans="2:10" x14ac:dyDescent="0.25">
      <c r="B207" s="184"/>
      <c r="C207" s="82" t="s">
        <v>182</v>
      </c>
      <c r="D207" s="184"/>
      <c r="E207" s="184"/>
      <c r="F207" s="184"/>
      <c r="G207" s="229"/>
      <c r="H207" s="77"/>
      <c r="I207" s="77"/>
      <c r="J207" s="77"/>
    </row>
    <row r="208" spans="2:10" x14ac:dyDescent="0.25">
      <c r="B208" s="184"/>
      <c r="C208" s="82" t="s">
        <v>183</v>
      </c>
      <c r="D208" s="184"/>
      <c r="E208" s="184"/>
      <c r="F208" s="184"/>
      <c r="G208" s="229"/>
      <c r="H208" s="77"/>
      <c r="I208" s="77"/>
      <c r="J208" s="77"/>
    </row>
    <row r="209" spans="2:10" x14ac:dyDescent="0.25">
      <c r="B209" s="184"/>
      <c r="C209" s="82" t="s">
        <v>184</v>
      </c>
      <c r="D209" s="184"/>
      <c r="E209" s="184" t="s">
        <v>185</v>
      </c>
      <c r="F209" s="184"/>
      <c r="G209" s="229"/>
      <c r="H209" s="77"/>
      <c r="I209" s="77"/>
      <c r="J209" s="77"/>
    </row>
    <row r="210" spans="2:10" x14ac:dyDescent="0.25">
      <c r="B210" s="184"/>
      <c r="C210" s="178"/>
      <c r="D210" s="184"/>
      <c r="E210" s="184"/>
      <c r="F210" s="184"/>
      <c r="G210" s="229"/>
      <c r="H210" s="77"/>
      <c r="I210" s="77"/>
      <c r="J210" s="77"/>
    </row>
    <row r="211" spans="2:10" x14ac:dyDescent="0.25">
      <c r="B211" s="184"/>
      <c r="C211" s="178" t="s">
        <v>186</v>
      </c>
      <c r="D211" s="184"/>
      <c r="E211" s="184"/>
      <c r="F211" s="184"/>
      <c r="G211" s="178"/>
      <c r="H211" s="77"/>
      <c r="I211" s="77"/>
      <c r="J211" s="77"/>
    </row>
    <row r="212" spans="2:10" x14ac:dyDescent="0.25">
      <c r="B212" s="184"/>
      <c r="C212" s="178" t="s">
        <v>187</v>
      </c>
      <c r="D212" s="184"/>
      <c r="E212" s="184"/>
      <c r="F212" s="184"/>
      <c r="G212" s="229"/>
      <c r="H212" s="77"/>
      <c r="I212" s="77"/>
      <c r="J212" s="77"/>
    </row>
    <row r="213" spans="2:10" x14ac:dyDescent="0.25">
      <c r="B213" s="184"/>
      <c r="C213" s="178"/>
      <c r="D213" s="184"/>
      <c r="E213" s="184"/>
      <c r="F213" s="184"/>
      <c r="G213" s="229"/>
      <c r="H213" s="77"/>
      <c r="I213" s="77"/>
      <c r="J213" s="77"/>
    </row>
    <row r="214" spans="2:10" x14ac:dyDescent="0.25">
      <c r="B214" s="184"/>
      <c r="C214" s="82" t="s">
        <v>170</v>
      </c>
      <c r="D214" s="184"/>
      <c r="E214" s="184"/>
      <c r="F214" s="184"/>
      <c r="G214" s="229"/>
      <c r="H214" s="77"/>
      <c r="I214" s="77"/>
      <c r="J214" s="77"/>
    </row>
    <row r="215" spans="2:10" x14ac:dyDescent="0.25">
      <c r="B215" s="184"/>
      <c r="C215" s="82" t="s">
        <v>171</v>
      </c>
      <c r="D215" s="184"/>
      <c r="E215" s="184"/>
      <c r="F215" s="184"/>
      <c r="G215" s="229"/>
      <c r="H215" s="77"/>
      <c r="I215" s="77"/>
      <c r="J215" s="77"/>
    </row>
    <row r="216" spans="2:10" x14ac:dyDescent="0.25">
      <c r="B216" s="184"/>
      <c r="C216" s="82" t="s">
        <v>178</v>
      </c>
      <c r="D216" s="184"/>
      <c r="E216" s="184"/>
      <c r="F216" s="184"/>
      <c r="G216" s="229"/>
      <c r="H216" s="77"/>
      <c r="I216" s="77"/>
      <c r="J216" s="77"/>
    </row>
    <row r="217" spans="2:10" x14ac:dyDescent="0.25">
      <c r="B217" s="184"/>
      <c r="C217" s="82" t="s">
        <v>188</v>
      </c>
      <c r="D217" s="184"/>
      <c r="E217" s="184"/>
      <c r="F217" s="184"/>
      <c r="G217" s="229"/>
      <c r="H217" s="77"/>
      <c r="I217" s="77"/>
      <c r="J217" s="77"/>
    </row>
    <row r="218" spans="2:10" x14ac:dyDescent="0.25">
      <c r="B218" s="184"/>
      <c r="C218" s="82" t="s">
        <v>189</v>
      </c>
      <c r="D218" s="184"/>
      <c r="E218" s="184"/>
      <c r="F218" s="184"/>
      <c r="G218" s="229"/>
      <c r="H218" s="77"/>
      <c r="I218" s="77"/>
      <c r="J218" s="77"/>
    </row>
    <row r="219" spans="2:10" x14ac:dyDescent="0.25">
      <c r="B219" s="184"/>
      <c r="C219" s="82" t="s">
        <v>190</v>
      </c>
      <c r="D219" s="184"/>
      <c r="E219" s="184"/>
      <c r="F219" s="184"/>
      <c r="G219" s="229"/>
      <c r="H219" s="77"/>
      <c r="I219" s="77"/>
      <c r="J219" s="77"/>
    </row>
    <row r="220" spans="2:10" x14ac:dyDescent="0.25">
      <c r="B220" s="184"/>
      <c r="C220" s="82" t="s">
        <v>191</v>
      </c>
      <c r="D220" s="184"/>
      <c r="E220" s="184"/>
      <c r="F220" s="184"/>
      <c r="G220" s="229"/>
      <c r="H220" s="77"/>
      <c r="I220" s="77"/>
      <c r="J220" s="77"/>
    </row>
    <row r="221" spans="2:10" x14ac:dyDescent="0.25">
      <c r="B221" s="184"/>
      <c r="C221" s="82" t="s">
        <v>192</v>
      </c>
      <c r="D221" s="184"/>
      <c r="E221" s="184"/>
      <c r="F221" s="184"/>
      <c r="G221" s="229"/>
      <c r="H221" s="77"/>
      <c r="I221" s="77"/>
      <c r="J221" s="77"/>
    </row>
    <row r="222" spans="2:10" x14ac:dyDescent="0.25">
      <c r="B222" s="184"/>
      <c r="C222" s="178" t="s">
        <v>193</v>
      </c>
      <c r="D222" s="184"/>
      <c r="E222" s="184"/>
      <c r="F222" s="184"/>
      <c r="G222" s="229"/>
      <c r="H222" s="77"/>
      <c r="I222" s="77"/>
      <c r="J222" s="77"/>
    </row>
    <row r="223" spans="2:10" x14ac:dyDescent="0.25">
      <c r="B223" s="184"/>
      <c r="C223" s="178"/>
      <c r="D223" s="184"/>
      <c r="E223" s="184"/>
      <c r="F223" s="184"/>
      <c r="G223" s="229"/>
      <c r="H223" s="77"/>
      <c r="I223" s="77"/>
      <c r="J223" s="77"/>
    </row>
    <row r="224" spans="2:10" x14ac:dyDescent="0.25">
      <c r="B224" s="184"/>
      <c r="C224" s="178" t="s">
        <v>194</v>
      </c>
      <c r="D224" s="184"/>
      <c r="E224" s="184"/>
      <c r="F224" s="184"/>
      <c r="G224" s="229"/>
      <c r="H224" s="77"/>
      <c r="I224" s="77"/>
      <c r="J224" s="77"/>
    </row>
    <row r="225" spans="2:10" x14ac:dyDescent="0.25">
      <c r="B225" s="184"/>
      <c r="C225" s="178"/>
      <c r="D225" s="184"/>
      <c r="E225" s="184"/>
      <c r="F225" s="184"/>
      <c r="G225" s="229"/>
      <c r="H225" s="77"/>
      <c r="I225" s="77"/>
      <c r="J225" s="77"/>
    </row>
    <row r="226" spans="2:10" x14ac:dyDescent="0.25">
      <c r="B226" s="184"/>
      <c r="C226" s="82" t="s">
        <v>195</v>
      </c>
      <c r="D226" s="184"/>
      <c r="E226" s="184"/>
      <c r="F226" s="184"/>
      <c r="G226" s="229"/>
      <c r="H226" s="77"/>
      <c r="I226" s="77"/>
      <c r="J226" s="77"/>
    </row>
    <row r="227" spans="2:10" x14ac:dyDescent="0.25">
      <c r="B227" s="184"/>
      <c r="C227" s="82"/>
      <c r="D227" s="184"/>
      <c r="E227" s="184"/>
      <c r="F227" s="184"/>
      <c r="G227" s="229"/>
      <c r="H227" s="77"/>
      <c r="I227" s="77"/>
      <c r="J227" s="77"/>
    </row>
    <row r="228" spans="2:10" x14ac:dyDescent="0.25">
      <c r="B228" s="184"/>
      <c r="C228" s="178" t="s">
        <v>196</v>
      </c>
      <c r="D228" s="231"/>
      <c r="E228" s="184"/>
      <c r="F228" s="184"/>
      <c r="G228" s="229"/>
      <c r="H228" s="77"/>
      <c r="I228" s="77"/>
      <c r="J228" s="77"/>
    </row>
    <row r="229" spans="2:10" x14ac:dyDescent="0.25">
      <c r="B229" s="184"/>
      <c r="C229" s="178"/>
      <c r="D229" s="184"/>
      <c r="E229" s="184"/>
      <c r="F229" s="184"/>
      <c r="G229" s="229"/>
      <c r="H229" s="77"/>
      <c r="I229" s="77"/>
      <c r="J229" s="77"/>
    </row>
    <row r="230" spans="2:10" x14ac:dyDescent="0.25">
      <c r="B230" s="184"/>
      <c r="C230" s="178" t="s">
        <v>197</v>
      </c>
      <c r="D230" s="184"/>
      <c r="E230" s="184"/>
      <c r="F230" s="184"/>
      <c r="G230" s="229"/>
      <c r="H230" s="77"/>
      <c r="I230" s="77"/>
      <c r="J230" s="77"/>
    </row>
    <row r="231" spans="2:10" x14ac:dyDescent="0.25">
      <c r="B231" s="184"/>
      <c r="C231" s="178"/>
      <c r="D231" s="184"/>
      <c r="E231" s="184"/>
      <c r="F231" s="184"/>
      <c r="G231" s="229"/>
      <c r="H231" s="77"/>
      <c r="I231" s="77"/>
      <c r="J231" s="77"/>
    </row>
    <row r="232" spans="2:10" x14ac:dyDescent="0.25">
      <c r="B232" s="184"/>
      <c r="C232" s="82" t="s">
        <v>198</v>
      </c>
      <c r="D232" s="184"/>
      <c r="E232" s="184"/>
      <c r="F232" s="184"/>
      <c r="G232" s="229"/>
      <c r="H232" s="77"/>
      <c r="I232" s="77"/>
      <c r="J232" s="77"/>
    </row>
    <row r="233" spans="2:10" x14ac:dyDescent="0.25">
      <c r="B233" s="184"/>
      <c r="C233" s="178" t="s">
        <v>199</v>
      </c>
      <c r="D233" s="184"/>
      <c r="E233" s="184"/>
      <c r="F233" s="184"/>
      <c r="G233" s="229"/>
      <c r="H233" s="77"/>
      <c r="I233" s="77"/>
      <c r="J233" s="77"/>
    </row>
    <row r="234" spans="2:10" x14ac:dyDescent="0.25">
      <c r="B234" s="184"/>
      <c r="C234" s="178"/>
      <c r="D234" s="184"/>
      <c r="E234" s="184"/>
      <c r="F234" s="184"/>
      <c r="G234" s="229"/>
      <c r="H234" s="77"/>
      <c r="I234" s="77"/>
      <c r="J234" s="77"/>
    </row>
    <row r="235" spans="2:10" x14ac:dyDescent="0.25">
      <c r="B235" s="184"/>
      <c r="C235" s="178" t="s">
        <v>200</v>
      </c>
      <c r="D235" s="184"/>
      <c r="E235" s="184"/>
      <c r="F235" s="184"/>
      <c r="G235" s="229"/>
      <c r="H235" s="77"/>
      <c r="I235" s="77"/>
      <c r="J235" s="77"/>
    </row>
    <row r="236" spans="2:10" x14ac:dyDescent="0.25">
      <c r="B236" s="184"/>
      <c r="C236" s="82" t="s">
        <v>170</v>
      </c>
      <c r="D236" s="184"/>
      <c r="E236" s="184"/>
      <c r="F236" s="184"/>
      <c r="G236" s="230"/>
      <c r="H236" s="77"/>
      <c r="I236" s="77"/>
      <c r="J236" s="77"/>
    </row>
    <row r="237" spans="2:10" x14ac:dyDescent="0.25">
      <c r="B237" s="184"/>
      <c r="C237" s="82" t="s">
        <v>171</v>
      </c>
      <c r="D237" s="184"/>
      <c r="E237" s="184"/>
      <c r="F237" s="184"/>
      <c r="G237" s="230"/>
      <c r="H237" s="77"/>
      <c r="I237" s="77"/>
      <c r="J237" s="77"/>
    </row>
    <row r="238" spans="2:10" x14ac:dyDescent="0.25">
      <c r="B238" s="184"/>
      <c r="C238" s="82" t="s">
        <v>201</v>
      </c>
      <c r="D238" s="184"/>
      <c r="E238" s="184"/>
      <c r="F238" s="184"/>
      <c r="G238" s="230"/>
      <c r="H238" s="77"/>
      <c r="I238" s="77"/>
      <c r="J238" s="77"/>
    </row>
    <row r="239" spans="2:10" x14ac:dyDescent="0.25">
      <c r="B239" s="184"/>
      <c r="C239" s="82" t="s">
        <v>173</v>
      </c>
      <c r="D239" s="184"/>
      <c r="E239" s="184"/>
      <c r="F239" s="184"/>
      <c r="G239" s="230"/>
      <c r="H239" s="77"/>
      <c r="I239" s="77"/>
      <c r="J239" s="77"/>
    </row>
    <row r="240" spans="2:10" x14ac:dyDescent="0.25">
      <c r="B240" s="184"/>
      <c r="C240" s="82" t="s">
        <v>202</v>
      </c>
      <c r="D240" s="184"/>
      <c r="E240" s="184"/>
      <c r="F240" s="184"/>
      <c r="G240" s="230"/>
      <c r="H240" s="77"/>
      <c r="I240" s="77"/>
      <c r="J240" s="77"/>
    </row>
    <row r="241" spans="2:10" x14ac:dyDescent="0.25">
      <c r="B241" s="184"/>
      <c r="C241" s="82" t="s">
        <v>203</v>
      </c>
      <c r="D241" s="184"/>
      <c r="E241" s="184"/>
      <c r="F241" s="184"/>
      <c r="G241" s="230"/>
      <c r="H241" s="77"/>
      <c r="I241" s="77"/>
      <c r="J241" s="77"/>
    </row>
    <row r="242" spans="2:10" x14ac:dyDescent="0.25">
      <c r="B242" s="184"/>
      <c r="C242" s="82" t="s">
        <v>204</v>
      </c>
      <c r="D242" s="184"/>
      <c r="E242" s="184"/>
      <c r="F242" s="184"/>
      <c r="G242" s="230"/>
      <c r="H242" s="77"/>
      <c r="I242" s="77"/>
      <c r="J242" s="77"/>
    </row>
    <row r="243" spans="2:10" x14ac:dyDescent="0.25">
      <c r="B243" s="184"/>
      <c r="C243" s="178" t="s">
        <v>177</v>
      </c>
      <c r="D243" s="184"/>
      <c r="E243" s="184"/>
      <c r="F243" s="184"/>
      <c r="G243" s="230"/>
      <c r="H243" s="77"/>
      <c r="I243" s="77"/>
      <c r="J243" s="77"/>
    </row>
    <row r="244" spans="2:10" x14ac:dyDescent="0.25">
      <c r="B244" s="184"/>
      <c r="C244" s="82" t="s">
        <v>178</v>
      </c>
      <c r="D244" s="184"/>
      <c r="E244" s="184"/>
      <c r="F244" s="184"/>
      <c r="G244" s="229"/>
      <c r="H244" s="77"/>
      <c r="I244" s="77"/>
      <c r="J244" s="77"/>
    </row>
    <row r="245" spans="2:10" x14ac:dyDescent="0.25">
      <c r="B245" s="184"/>
      <c r="C245" s="82" t="s">
        <v>179</v>
      </c>
      <c r="D245" s="184"/>
      <c r="E245" s="184"/>
      <c r="F245" s="184"/>
      <c r="G245" s="229"/>
      <c r="H245" s="77"/>
      <c r="I245" s="77"/>
      <c r="J245" s="77"/>
    </row>
    <row r="246" spans="2:10" x14ac:dyDescent="0.25">
      <c r="B246" s="184"/>
      <c r="C246" s="82" t="s">
        <v>180</v>
      </c>
      <c r="D246" s="184"/>
      <c r="E246" s="184"/>
      <c r="F246" s="184"/>
      <c r="G246" s="229"/>
      <c r="H246" s="77"/>
      <c r="I246" s="77"/>
      <c r="J246" s="77"/>
    </row>
    <row r="247" spans="2:10" x14ac:dyDescent="0.25">
      <c r="B247" s="184"/>
      <c r="C247" s="82" t="s">
        <v>181</v>
      </c>
      <c r="D247" s="184"/>
      <c r="E247" s="184"/>
      <c r="F247" s="184"/>
      <c r="G247" s="229"/>
      <c r="H247" s="77"/>
      <c r="I247" s="77"/>
      <c r="J247" s="77"/>
    </row>
    <row r="248" spans="2:10" x14ac:dyDescent="0.25">
      <c r="B248" s="184"/>
      <c r="C248" s="82" t="s">
        <v>182</v>
      </c>
      <c r="D248" s="184"/>
      <c r="E248" s="184"/>
      <c r="F248" s="184"/>
      <c r="G248" s="229"/>
      <c r="H248" s="77"/>
      <c r="I248" s="77"/>
      <c r="J248" s="77"/>
    </row>
    <row r="249" spans="2:10" x14ac:dyDescent="0.25">
      <c r="B249" s="184"/>
      <c r="C249" s="82" t="s">
        <v>205</v>
      </c>
      <c r="D249" s="184"/>
      <c r="E249" s="184"/>
      <c r="F249" s="184"/>
      <c r="G249" s="229"/>
      <c r="H249" s="77"/>
      <c r="I249" s="77"/>
      <c r="J249" s="77"/>
    </row>
    <row r="250" spans="2:10" x14ac:dyDescent="0.25">
      <c r="B250" s="184"/>
      <c r="C250" s="139" t="s">
        <v>206</v>
      </c>
      <c r="D250" s="184"/>
      <c r="F250" s="184"/>
      <c r="G250" s="229"/>
      <c r="H250" s="77"/>
      <c r="I250" s="77"/>
      <c r="J250" s="77"/>
    </row>
    <row r="251" spans="2:10" x14ac:dyDescent="0.25">
      <c r="B251" s="184"/>
      <c r="C251" s="178"/>
      <c r="D251" s="184"/>
      <c r="E251" s="184"/>
      <c r="F251" s="184"/>
      <c r="G251" s="229"/>
      <c r="H251" s="77"/>
      <c r="I251" s="77"/>
      <c r="J251" s="77"/>
    </row>
    <row r="252" spans="2:10" x14ac:dyDescent="0.25">
      <c r="B252" s="184"/>
      <c r="C252" s="178" t="s">
        <v>207</v>
      </c>
      <c r="D252" s="184"/>
      <c r="E252" s="184"/>
      <c r="F252" s="184"/>
      <c r="G252" s="178"/>
      <c r="H252" s="77"/>
      <c r="I252" s="77"/>
      <c r="J252" s="77"/>
    </row>
    <row r="253" spans="2:10" x14ac:dyDescent="0.25">
      <c r="B253" s="184"/>
      <c r="C253" s="178"/>
      <c r="D253" s="184"/>
      <c r="E253" s="184"/>
      <c r="F253" s="184"/>
      <c r="G253" s="178"/>
      <c r="H253" s="77"/>
      <c r="I253" s="77"/>
      <c r="J253" s="77"/>
    </row>
    <row r="254" spans="2:10" x14ac:dyDescent="0.25">
      <c r="B254" s="184"/>
      <c r="C254" s="178" t="s">
        <v>208</v>
      </c>
      <c r="D254" s="184"/>
      <c r="E254" s="184"/>
      <c r="F254" s="184"/>
      <c r="G254" s="178"/>
      <c r="H254" s="77"/>
      <c r="I254" s="77"/>
      <c r="J254" s="77"/>
    </row>
    <row r="255" spans="2:10" x14ac:dyDescent="0.25">
      <c r="B255" s="184"/>
      <c r="C255" s="178" t="s">
        <v>209</v>
      </c>
      <c r="D255" s="184"/>
      <c r="E255" s="184"/>
      <c r="F255" s="184"/>
      <c r="G255" s="178"/>
      <c r="H255" s="77"/>
      <c r="I255" s="77"/>
      <c r="J255" s="77"/>
    </row>
    <row r="256" spans="2:10" x14ac:dyDescent="0.25">
      <c r="B256" s="184"/>
      <c r="C256" s="178" t="s">
        <v>210</v>
      </c>
      <c r="D256" s="184"/>
      <c r="E256" s="184"/>
      <c r="F256" s="184"/>
      <c r="G256" s="178"/>
      <c r="H256" s="77"/>
      <c r="I256" s="77"/>
      <c r="J256" s="77"/>
    </row>
    <row r="257" spans="2:10" x14ac:dyDescent="0.25">
      <c r="B257" s="184"/>
      <c r="C257" s="178"/>
      <c r="D257" s="184"/>
      <c r="E257" s="184"/>
      <c r="F257" s="184"/>
      <c r="G257" s="178"/>
      <c r="H257" s="77"/>
      <c r="I257" s="77"/>
      <c r="J257" s="77"/>
    </row>
    <row r="258" spans="2:10" ht="16.5" thickBot="1" x14ac:dyDescent="0.3">
      <c r="B258" s="184"/>
      <c r="C258" s="178"/>
      <c r="D258" s="184"/>
      <c r="E258" s="184"/>
      <c r="F258" s="184"/>
      <c r="G258" s="178"/>
      <c r="H258" s="77"/>
      <c r="I258" s="77"/>
      <c r="J258" s="77"/>
    </row>
    <row r="259" spans="2:10" ht="16.5" thickBot="1" x14ac:dyDescent="0.3">
      <c r="B259" s="110"/>
      <c r="C259" s="232" t="s">
        <v>211</v>
      </c>
      <c r="D259" s="77"/>
      <c r="F259" s="81" t="s">
        <v>212</v>
      </c>
    </row>
    <row r="261" spans="2:10" ht="63" x14ac:dyDescent="0.25">
      <c r="B261" s="83" t="s">
        <v>3</v>
      </c>
      <c r="C261" s="83" t="s">
        <v>213</v>
      </c>
      <c r="D261" s="112" t="s">
        <v>214</v>
      </c>
      <c r="E261" s="77"/>
    </row>
    <row r="262" spans="2:10" ht="45.75" x14ac:dyDescent="0.25">
      <c r="B262" s="85">
        <v>1</v>
      </c>
      <c r="C262" s="233" t="s">
        <v>215</v>
      </c>
      <c r="D262" s="234">
        <f>K115</f>
        <v>741.1635</v>
      </c>
      <c r="E262" s="77"/>
    </row>
    <row r="263" spans="2:10" x14ac:dyDescent="0.25">
      <c r="B263" s="85">
        <v>2</v>
      </c>
      <c r="C263" s="88" t="s">
        <v>216</v>
      </c>
      <c r="D263" s="235">
        <f>I179</f>
        <v>949.56999999999994</v>
      </c>
      <c r="E263" s="77"/>
    </row>
    <row r="264" spans="2:10" ht="45.75" x14ac:dyDescent="0.25">
      <c r="B264" s="85">
        <v>3</v>
      </c>
      <c r="C264" s="233" t="s">
        <v>217</v>
      </c>
      <c r="D264" s="236">
        <f>G191</f>
        <v>39372.32</v>
      </c>
      <c r="E264" s="77"/>
    </row>
    <row r="265" spans="2:10" x14ac:dyDescent="0.25">
      <c r="B265" s="85"/>
      <c r="C265" s="88"/>
      <c r="D265" s="85"/>
      <c r="E265" s="77"/>
    </row>
    <row r="266" spans="2:10" x14ac:dyDescent="0.25">
      <c r="B266" s="88"/>
      <c r="C266" s="228" t="s">
        <v>102</v>
      </c>
      <c r="D266" s="142">
        <f>D262+D263+D264</f>
        <v>41063.053500000002</v>
      </c>
      <c r="E266" s="77"/>
    </row>
    <row r="267" spans="2:10" ht="16.5" thickBot="1" x14ac:dyDescent="0.3"/>
    <row r="268" spans="2:10" ht="16.5" thickBot="1" x14ac:dyDescent="0.3">
      <c r="B268" s="77"/>
      <c r="C268" s="78" t="s">
        <v>218</v>
      </c>
      <c r="D268" s="77"/>
      <c r="E268" s="237" t="s">
        <v>219</v>
      </c>
    </row>
    <row r="270" spans="2:10" ht="31.5" x14ac:dyDescent="0.25">
      <c r="B270" s="83" t="s">
        <v>3</v>
      </c>
      <c r="C270" s="112" t="s">
        <v>220</v>
      </c>
      <c r="D270" s="112"/>
      <c r="E270" s="112" t="s">
        <v>221</v>
      </c>
      <c r="F270" s="238"/>
      <c r="G270" s="238"/>
      <c r="H270" s="238"/>
    </row>
    <row r="271" spans="2:10" ht="60.75" x14ac:dyDescent="0.25">
      <c r="B271" s="85">
        <v>1</v>
      </c>
      <c r="C271" s="233" t="s">
        <v>222</v>
      </c>
      <c r="D271" s="88"/>
      <c r="E271" s="176">
        <f>K98</f>
        <v>35048.678616000005</v>
      </c>
      <c r="F271" s="82"/>
      <c r="G271" s="82"/>
      <c r="H271" s="82"/>
    </row>
    <row r="272" spans="2:10" ht="45.75" x14ac:dyDescent="0.25">
      <c r="B272" s="85">
        <v>2</v>
      </c>
      <c r="C272" s="233" t="s">
        <v>223</v>
      </c>
      <c r="D272" s="88"/>
      <c r="E272" s="176">
        <f>D266</f>
        <v>41063.053500000002</v>
      </c>
      <c r="G272" s="82"/>
      <c r="H272" s="82"/>
    </row>
    <row r="273" spans="2:10" ht="60.75" x14ac:dyDescent="0.25">
      <c r="B273" s="85">
        <v>3</v>
      </c>
      <c r="C273" s="233" t="s">
        <v>224</v>
      </c>
      <c r="D273" s="239"/>
      <c r="E273" s="240">
        <f>I128</f>
        <v>1.6992137327219565</v>
      </c>
      <c r="F273" s="82"/>
      <c r="G273" s="82"/>
      <c r="H273" s="82"/>
    </row>
    <row r="274" spans="2:10" ht="45.75" x14ac:dyDescent="0.25">
      <c r="B274" s="85">
        <v>4</v>
      </c>
      <c r="C274" s="233" t="s">
        <v>225</v>
      </c>
      <c r="D274" s="176"/>
      <c r="E274" s="176">
        <f>L57</f>
        <v>54046.540799999995</v>
      </c>
      <c r="F274" s="82"/>
      <c r="G274" s="82"/>
      <c r="H274" s="82"/>
    </row>
    <row r="275" spans="2:10" x14ac:dyDescent="0.25">
      <c r="B275" s="85">
        <v>5</v>
      </c>
      <c r="C275" s="233" t="s">
        <v>226</v>
      </c>
      <c r="D275" s="239" t="s">
        <v>227</v>
      </c>
      <c r="E275" s="176">
        <f>(E271+E272+E273)/E274</f>
        <v>1.4082942257376205</v>
      </c>
      <c r="F275" s="82"/>
      <c r="G275" s="241"/>
      <c r="H275" s="82"/>
    </row>
    <row r="276" spans="2:10" ht="45.75" x14ac:dyDescent="0.25">
      <c r="B276" s="85">
        <v>6</v>
      </c>
      <c r="C276" s="233" t="s">
        <v>228</v>
      </c>
      <c r="D276" s="88"/>
      <c r="E276" s="176">
        <f>E274</f>
        <v>54046.540799999995</v>
      </c>
      <c r="F276" s="82"/>
      <c r="G276" s="82"/>
      <c r="H276" s="82"/>
    </row>
    <row r="277" spans="2:10" x14ac:dyDescent="0.25">
      <c r="B277" s="85"/>
      <c r="C277" s="242" t="s">
        <v>229</v>
      </c>
      <c r="D277" s="141" t="s">
        <v>230</v>
      </c>
      <c r="E277" s="243">
        <f>E275*E276</f>
        <v>76113.431329732717</v>
      </c>
      <c r="F277" s="82"/>
      <c r="G277" s="82"/>
      <c r="H277" s="82"/>
    </row>
    <row r="278" spans="2:10" ht="16.5" thickBot="1" x14ac:dyDescent="0.3">
      <c r="B278" s="184"/>
      <c r="C278" s="244"/>
      <c r="D278" s="82"/>
      <c r="E278" s="82"/>
      <c r="F278" s="82"/>
      <c r="G278" s="82"/>
      <c r="H278" s="82"/>
    </row>
    <row r="279" spans="2:10" ht="16.5" thickBot="1" x14ac:dyDescent="0.3">
      <c r="B279" s="77"/>
      <c r="C279" s="78" t="s">
        <v>231</v>
      </c>
      <c r="D279" s="77"/>
      <c r="E279" s="237" t="s">
        <v>232</v>
      </c>
      <c r="F279" s="77"/>
      <c r="G279" s="77"/>
      <c r="H279" s="77"/>
    </row>
    <row r="281" spans="2:10" ht="31.5" x14ac:dyDescent="0.25">
      <c r="B281" s="83" t="s">
        <v>3</v>
      </c>
      <c r="C281" s="112" t="s">
        <v>213</v>
      </c>
      <c r="D281" s="112" t="s">
        <v>221</v>
      </c>
      <c r="E281" s="238"/>
      <c r="F281" s="238"/>
      <c r="G281" s="77"/>
      <c r="H281" s="77"/>
    </row>
    <row r="282" spans="2:10" ht="30.75" x14ac:dyDescent="0.25">
      <c r="B282" s="85">
        <v>1</v>
      </c>
      <c r="C282" s="233" t="s">
        <v>233</v>
      </c>
      <c r="D282" s="172">
        <f>E276</f>
        <v>54046.540799999995</v>
      </c>
      <c r="E282" s="82"/>
      <c r="F282" s="82"/>
      <c r="G282" s="77"/>
      <c r="H282" s="77"/>
    </row>
    <row r="283" spans="2:10" ht="30.75" x14ac:dyDescent="0.25">
      <c r="B283" s="85">
        <v>2</v>
      </c>
      <c r="C283" s="233" t="s">
        <v>234</v>
      </c>
      <c r="D283" s="245">
        <f>G71</f>
        <v>25840</v>
      </c>
      <c r="E283" s="82"/>
      <c r="F283" s="82"/>
      <c r="G283" s="77"/>
      <c r="H283" s="77"/>
      <c r="I283" s="77"/>
    </row>
    <row r="284" spans="2:10" ht="30.75" x14ac:dyDescent="0.25">
      <c r="B284" s="85">
        <v>3</v>
      </c>
      <c r="C284" s="233" t="s">
        <v>235</v>
      </c>
      <c r="D284" s="172">
        <f>E277</f>
        <v>76113.431329732717</v>
      </c>
      <c r="E284" s="82"/>
      <c r="F284" s="82"/>
      <c r="G284" s="77"/>
      <c r="H284" s="77"/>
      <c r="I284" s="77"/>
    </row>
    <row r="285" spans="2:10" x14ac:dyDescent="0.25">
      <c r="B285" s="85">
        <v>4</v>
      </c>
      <c r="C285" s="246" t="s">
        <v>236</v>
      </c>
      <c r="D285" s="234">
        <f>D282+D283+D284</f>
        <v>155999.97212973272</v>
      </c>
      <c r="E285" s="82"/>
      <c r="F285" s="82"/>
      <c r="G285" s="77"/>
      <c r="H285" s="77"/>
      <c r="I285" s="77"/>
    </row>
    <row r="286" spans="2:10" x14ac:dyDescent="0.25">
      <c r="B286" s="85">
        <v>5</v>
      </c>
      <c r="C286" s="246" t="s">
        <v>237</v>
      </c>
      <c r="D286" s="247"/>
      <c r="E286" s="82"/>
      <c r="F286" s="82"/>
      <c r="G286" s="77"/>
      <c r="H286" s="77"/>
      <c r="I286" s="77"/>
    </row>
    <row r="287" spans="2:10" x14ac:dyDescent="0.25">
      <c r="B287" s="85">
        <v>6</v>
      </c>
      <c r="C287" s="246" t="s">
        <v>238</v>
      </c>
      <c r="D287" s="86">
        <f>D285</f>
        <v>155999.97212973272</v>
      </c>
      <c r="E287" s="82"/>
      <c r="F287" s="179"/>
      <c r="G287" s="77"/>
      <c r="H287" s="90"/>
      <c r="I287" s="248"/>
      <c r="J287" s="249"/>
    </row>
    <row r="288" spans="2:10" ht="31.5" x14ac:dyDescent="0.25">
      <c r="B288" s="85">
        <v>7</v>
      </c>
      <c r="C288" s="246" t="s">
        <v>239</v>
      </c>
      <c r="D288" s="250">
        <f>D287/20/6</f>
        <v>1299.9997677477727</v>
      </c>
      <c r="E288" s="82"/>
      <c r="F288" s="82"/>
      <c r="G288" s="77"/>
      <c r="H288" s="248"/>
      <c r="I288" s="248"/>
      <c r="J288" s="93"/>
    </row>
    <row r="289" spans="2:10" x14ac:dyDescent="0.25">
      <c r="H289" s="93"/>
      <c r="I289" s="93"/>
      <c r="J289" s="93"/>
    </row>
    <row r="290" spans="2:10" x14ac:dyDescent="0.25">
      <c r="B290" s="251" t="s">
        <v>240</v>
      </c>
      <c r="C290" s="251"/>
      <c r="D290" s="251"/>
      <c r="E290" s="251"/>
      <c r="F290" s="251"/>
      <c r="G290" s="77"/>
      <c r="H290" s="90"/>
      <c r="I290" s="90"/>
      <c r="J290" s="93"/>
    </row>
    <row r="291" spans="2:10" x14ac:dyDescent="0.25">
      <c r="B291" s="501" t="s">
        <v>241</v>
      </c>
      <c r="C291" s="501"/>
      <c r="D291" s="501"/>
      <c r="E291" s="501"/>
      <c r="F291" s="77"/>
      <c r="G291" s="77"/>
      <c r="H291" s="90"/>
      <c r="I291" s="90"/>
      <c r="J291" s="93"/>
    </row>
    <row r="292" spans="2:10" ht="16.5" thickBot="1" x14ac:dyDescent="0.3">
      <c r="B292" s="90"/>
      <c r="C292" s="90"/>
      <c r="D292" s="90"/>
      <c r="E292" s="90"/>
      <c r="F292" s="77"/>
      <c r="G292" s="77"/>
      <c r="H292" s="90"/>
      <c r="I292" s="90"/>
      <c r="J292" s="93"/>
    </row>
    <row r="293" spans="2:10" ht="16.5" thickBot="1" x14ac:dyDescent="0.3">
      <c r="B293" s="90"/>
      <c r="C293" s="182" t="s">
        <v>242</v>
      </c>
      <c r="D293" s="90"/>
      <c r="E293" s="237" t="s">
        <v>243</v>
      </c>
      <c r="F293" s="77"/>
      <c r="G293" s="77"/>
      <c r="H293" s="90"/>
      <c r="I293" s="90"/>
      <c r="J293" s="93"/>
    </row>
    <row r="294" spans="2:10" x14ac:dyDescent="0.25">
      <c r="B294" s="90"/>
      <c r="C294" s="90"/>
      <c r="D294" s="90"/>
      <c r="E294" s="90"/>
      <c r="F294" s="77"/>
      <c r="G294" s="77"/>
      <c r="H294" s="90"/>
      <c r="I294" s="90"/>
      <c r="J294" s="93"/>
    </row>
    <row r="295" spans="2:10" ht="31.5" x14ac:dyDescent="0.25">
      <c r="B295" s="83" t="s">
        <v>3</v>
      </c>
      <c r="C295" s="252" t="s">
        <v>213</v>
      </c>
      <c r="D295" s="112" t="s">
        <v>244</v>
      </c>
      <c r="E295" s="112" t="s">
        <v>245</v>
      </c>
      <c r="F295" s="77"/>
      <c r="G295" s="77"/>
      <c r="H295" s="90"/>
      <c r="I295" s="90"/>
      <c r="J295" s="93"/>
    </row>
    <row r="296" spans="2:10" x14ac:dyDescent="0.25">
      <c r="B296" s="136">
        <v>1</v>
      </c>
      <c r="C296" s="154" t="s">
        <v>246</v>
      </c>
      <c r="D296" s="136" t="s">
        <v>247</v>
      </c>
      <c r="E296" s="136">
        <v>20</v>
      </c>
      <c r="F296" s="77"/>
      <c r="G296" s="77"/>
      <c r="H296" s="90"/>
      <c r="I296" s="90"/>
      <c r="J296" s="93"/>
    </row>
    <row r="297" spans="2:10" x14ac:dyDescent="0.25">
      <c r="B297" s="136">
        <v>2</v>
      </c>
      <c r="C297" s="154" t="s">
        <v>248</v>
      </c>
      <c r="D297" s="136" t="s">
        <v>249</v>
      </c>
      <c r="E297" s="136" t="s">
        <v>250</v>
      </c>
      <c r="F297" s="77"/>
      <c r="G297" s="77"/>
      <c r="H297" s="90"/>
      <c r="I297" s="90"/>
      <c r="J297" s="93"/>
    </row>
    <row r="298" spans="2:10" ht="45.75" x14ac:dyDescent="0.25">
      <c r="B298" s="136">
        <v>3</v>
      </c>
      <c r="C298" s="253" t="s">
        <v>251</v>
      </c>
      <c r="D298" s="136" t="s">
        <v>252</v>
      </c>
      <c r="E298" s="136">
        <v>72</v>
      </c>
      <c r="F298" s="77"/>
      <c r="G298" s="77"/>
      <c r="H298" s="90"/>
      <c r="I298" s="90"/>
      <c r="J298" s="93"/>
    </row>
    <row r="299" spans="2:10" ht="60.75" x14ac:dyDescent="0.25">
      <c r="B299" s="136">
        <v>4</v>
      </c>
      <c r="C299" s="253" t="s">
        <v>253</v>
      </c>
      <c r="D299" s="254" t="s">
        <v>254</v>
      </c>
      <c r="E299" s="136">
        <v>7800</v>
      </c>
      <c r="F299" s="77"/>
      <c r="G299" s="77"/>
      <c r="H299" s="90"/>
      <c r="I299" s="90"/>
      <c r="J299" s="93"/>
    </row>
    <row r="300" spans="2:10" ht="45.75" x14ac:dyDescent="0.25">
      <c r="B300" s="136">
        <v>5</v>
      </c>
      <c r="C300" s="253" t="s">
        <v>255</v>
      </c>
      <c r="D300" s="136" t="s">
        <v>252</v>
      </c>
      <c r="E300" s="136">
        <v>12</v>
      </c>
      <c r="F300" s="77"/>
      <c r="G300" s="77"/>
      <c r="H300" s="90"/>
      <c r="I300" s="90"/>
      <c r="J300" s="93"/>
    </row>
    <row r="301" spans="2:10" ht="45.75" x14ac:dyDescent="0.25">
      <c r="B301" s="136">
        <v>6</v>
      </c>
      <c r="C301" s="253" t="s">
        <v>256</v>
      </c>
      <c r="D301" s="136" t="s">
        <v>257</v>
      </c>
      <c r="E301" s="136">
        <v>108.33</v>
      </c>
      <c r="F301" s="77"/>
      <c r="G301" s="77"/>
      <c r="H301" s="90"/>
      <c r="I301" s="90"/>
      <c r="J301" s="93"/>
    </row>
    <row r="302" spans="2:10" ht="45.75" x14ac:dyDescent="0.25">
      <c r="B302" s="136">
        <v>7</v>
      </c>
      <c r="C302" s="253" t="s">
        <v>258</v>
      </c>
      <c r="D302" s="136" t="s">
        <v>257</v>
      </c>
      <c r="E302" s="136">
        <v>1300</v>
      </c>
      <c r="F302" s="77"/>
      <c r="G302" s="77"/>
      <c r="H302" s="90"/>
      <c r="I302" s="90"/>
      <c r="J302" s="93"/>
    </row>
    <row r="303" spans="2:10" x14ac:dyDescent="0.25">
      <c r="B303" s="136"/>
      <c r="C303" s="253"/>
      <c r="D303" s="136"/>
      <c r="E303" s="137"/>
      <c r="F303" s="77"/>
      <c r="G303" s="77"/>
      <c r="H303" s="90"/>
      <c r="I303" s="90"/>
      <c r="J303" s="93"/>
    </row>
    <row r="304" spans="2:10" x14ac:dyDescent="0.25">
      <c r="B304" s="90"/>
      <c r="C304" s="90"/>
      <c r="D304" s="90"/>
      <c r="E304" s="90"/>
      <c r="F304" s="77"/>
      <c r="G304" s="77"/>
      <c r="H304" s="90"/>
      <c r="I304" s="90"/>
      <c r="J304" s="93"/>
    </row>
    <row r="305" spans="2:10" x14ac:dyDescent="0.25">
      <c r="C305" s="182" t="s">
        <v>259</v>
      </c>
      <c r="D305" s="90"/>
      <c r="E305" s="90"/>
      <c r="F305" s="77"/>
      <c r="G305" s="77"/>
      <c r="H305" s="90"/>
      <c r="I305" s="90"/>
      <c r="J305" s="93"/>
    </row>
    <row r="306" spans="2:10" x14ac:dyDescent="0.25">
      <c r="C306" s="499" t="s">
        <v>260</v>
      </c>
      <c r="D306" s="499"/>
      <c r="E306" s="499"/>
      <c r="F306" s="499"/>
      <c r="G306" s="255"/>
      <c r="H306" s="90"/>
      <c r="I306" s="90"/>
      <c r="J306" s="93"/>
    </row>
    <row r="307" spans="2:10" x14ac:dyDescent="0.25">
      <c r="C307" s="182" t="s">
        <v>261</v>
      </c>
      <c r="E307" s="90"/>
      <c r="F307" s="77"/>
      <c r="G307" s="77"/>
      <c r="H307" s="90"/>
      <c r="I307" s="90"/>
      <c r="J307" s="93"/>
    </row>
    <row r="308" spans="2:10" x14ac:dyDescent="0.25">
      <c r="B308" s="90"/>
      <c r="C308" s="90" t="s">
        <v>262</v>
      </c>
      <c r="D308" s="90"/>
      <c r="E308" s="90"/>
      <c r="F308" s="77"/>
      <c r="G308" s="77"/>
      <c r="H308" s="90"/>
      <c r="I308" s="90"/>
      <c r="J308" s="93"/>
    </row>
    <row r="309" spans="2:10" s="93" customFormat="1" x14ac:dyDescent="0.25">
      <c r="C309" s="90" t="s">
        <v>263</v>
      </c>
      <c r="D309" s="90"/>
      <c r="E309" s="90"/>
      <c r="F309" s="90"/>
      <c r="G309" s="90"/>
      <c r="H309" s="90"/>
      <c r="I309" s="90"/>
    </row>
    <row r="310" spans="2:10" s="93" customFormat="1" x14ac:dyDescent="0.25">
      <c r="B310" s="255"/>
      <c r="C310" s="499" t="s">
        <v>320</v>
      </c>
      <c r="D310" s="499"/>
      <c r="E310" s="499"/>
      <c r="F310" s="499"/>
      <c r="G310" s="255"/>
      <c r="H310" s="90"/>
      <c r="I310" s="90"/>
    </row>
    <row r="311" spans="2:10" x14ac:dyDescent="0.25">
      <c r="B311" s="90"/>
      <c r="C311" s="90"/>
      <c r="D311" s="90"/>
      <c r="E311" s="90"/>
      <c r="F311" s="77"/>
      <c r="G311" s="77"/>
      <c r="H311" s="90"/>
      <c r="I311" s="90"/>
      <c r="J311" s="93"/>
    </row>
    <row r="312" spans="2:10" x14ac:dyDescent="0.25">
      <c r="B312" s="500" t="s">
        <v>264</v>
      </c>
      <c r="C312" s="500"/>
      <c r="D312" s="77"/>
      <c r="E312" s="77"/>
      <c r="F312" s="77" t="s">
        <v>265</v>
      </c>
      <c r="G312" s="77"/>
      <c r="H312" s="77"/>
      <c r="I312" s="77"/>
    </row>
    <row r="314" spans="2:10" x14ac:dyDescent="0.25">
      <c r="B314" s="77" t="s">
        <v>266</v>
      </c>
    </row>
    <row r="315" spans="2:10" x14ac:dyDescent="0.25">
      <c r="B315" s="79" t="s">
        <v>267</v>
      </c>
      <c r="C315" s="77"/>
      <c r="D315" s="77"/>
      <c r="E315" s="77"/>
      <c r="F315" s="501"/>
      <c r="G315" s="501"/>
      <c r="H315" s="77"/>
      <c r="I315" s="77"/>
    </row>
    <row r="316" spans="2:10" x14ac:dyDescent="0.25">
      <c r="B316" s="77" t="s">
        <v>268</v>
      </c>
      <c r="C316" s="77"/>
      <c r="D316" s="77"/>
      <c r="E316" s="77"/>
      <c r="F316" s="77"/>
      <c r="G316" s="77"/>
      <c r="H316" s="77"/>
      <c r="I316" s="77"/>
      <c r="J316" s="77"/>
    </row>
    <row r="318" spans="2:10" x14ac:dyDescent="0.25">
      <c r="B318" s="93"/>
      <c r="C318" s="93"/>
      <c r="D318" s="93"/>
      <c r="E318" s="93"/>
      <c r="F318" s="93"/>
      <c r="G318" s="93"/>
    </row>
    <row r="319" spans="2:10" x14ac:dyDescent="0.25">
      <c r="B319" s="90"/>
      <c r="C319" s="90"/>
      <c r="D319" s="90"/>
      <c r="E319" s="90"/>
      <c r="F319" s="90"/>
      <c r="G319" s="90"/>
      <c r="H319" s="186"/>
      <c r="I319" s="186"/>
      <c r="J319" s="186"/>
    </row>
    <row r="320" spans="2:10" x14ac:dyDescent="0.25">
      <c r="B320" s="182" t="s">
        <v>269</v>
      </c>
      <c r="C320" s="256"/>
      <c r="D320" s="182"/>
      <c r="E320" s="90" t="s">
        <v>270</v>
      </c>
      <c r="F320" s="90"/>
      <c r="G320" s="90" t="s">
        <v>271</v>
      </c>
      <c r="H320" s="186"/>
      <c r="I320" s="186"/>
      <c r="J320" s="186"/>
    </row>
    <row r="321" spans="2:10" x14ac:dyDescent="0.25">
      <c r="B321" s="90"/>
      <c r="C321" s="256"/>
      <c r="D321" s="90"/>
      <c r="E321" s="90"/>
      <c r="F321" s="90"/>
      <c r="G321" s="90"/>
      <c r="H321" s="186"/>
      <c r="I321" s="186"/>
      <c r="J321" s="186"/>
    </row>
    <row r="322" spans="2:10" x14ac:dyDescent="0.25">
      <c r="B322" s="257" t="s">
        <v>272</v>
      </c>
      <c r="C322" s="182" t="s">
        <v>273</v>
      </c>
      <c r="D322" s="258"/>
      <c r="E322" s="259"/>
      <c r="F322" s="182"/>
      <c r="G322" s="259"/>
      <c r="H322" s="186"/>
      <c r="I322" s="186"/>
      <c r="J322" s="186"/>
    </row>
    <row r="323" spans="2:10" x14ac:dyDescent="0.25">
      <c r="B323" s="90"/>
      <c r="C323" s="90" t="s">
        <v>274</v>
      </c>
      <c r="D323" s="258"/>
      <c r="E323" s="258">
        <f>E324+E325</f>
        <v>14972.730485999997</v>
      </c>
      <c r="F323" s="90"/>
      <c r="G323" s="259">
        <f>E323/E340*100</f>
        <v>57.587442327225212</v>
      </c>
      <c r="H323" s="186"/>
      <c r="I323" s="186"/>
      <c r="J323" s="186"/>
    </row>
    <row r="324" spans="2:10" x14ac:dyDescent="0.25">
      <c r="B324" s="260"/>
      <c r="C324" s="90" t="s">
        <v>275</v>
      </c>
      <c r="D324" s="259"/>
      <c r="E324" s="259">
        <f>J57+I98+I115</f>
        <v>11499.792999999998</v>
      </c>
      <c r="F324" s="90"/>
      <c r="G324" s="90"/>
      <c r="H324" s="186"/>
      <c r="I324" s="186"/>
      <c r="J324" s="186"/>
    </row>
    <row r="325" spans="2:10" x14ac:dyDescent="0.25">
      <c r="B325" s="90"/>
      <c r="C325" s="90" t="s">
        <v>276</v>
      </c>
      <c r="D325" s="259"/>
      <c r="E325" s="259">
        <f>K57+J98+J115</f>
        <v>3472.9374859999998</v>
      </c>
      <c r="F325" s="90"/>
      <c r="G325" s="90"/>
      <c r="H325" s="186"/>
      <c r="I325" s="186"/>
      <c r="J325" s="186"/>
    </row>
    <row r="326" spans="2:10" x14ac:dyDescent="0.25">
      <c r="B326" s="90"/>
      <c r="C326" s="90"/>
      <c r="D326" s="90"/>
      <c r="E326" s="90"/>
      <c r="F326" s="90"/>
      <c r="G326" s="259"/>
      <c r="H326" s="186"/>
      <c r="I326" s="186"/>
      <c r="J326" s="186"/>
    </row>
    <row r="327" spans="2:10" x14ac:dyDescent="0.25">
      <c r="B327" s="257">
        <v>2</v>
      </c>
      <c r="C327" s="182" t="s">
        <v>277</v>
      </c>
      <c r="D327" s="258"/>
      <c r="E327" s="258">
        <f>I179/6</f>
        <v>158.26166666666666</v>
      </c>
      <c r="F327" s="182"/>
      <c r="G327" s="259">
        <f>E327/E340*100</f>
        <v>0.60869890166653262</v>
      </c>
      <c r="H327" s="186"/>
      <c r="I327" s="186"/>
      <c r="J327" s="186"/>
    </row>
    <row r="328" spans="2:10" x14ac:dyDescent="0.25">
      <c r="B328" s="90"/>
      <c r="C328" s="90"/>
      <c r="D328" s="90"/>
      <c r="E328" s="90"/>
      <c r="F328" s="90"/>
      <c r="G328" s="90"/>
      <c r="H328" s="186"/>
      <c r="I328" s="186"/>
      <c r="J328" s="186"/>
    </row>
    <row r="329" spans="2:10" x14ac:dyDescent="0.25">
      <c r="B329" s="257" t="s">
        <v>278</v>
      </c>
      <c r="C329" s="182" t="s">
        <v>279</v>
      </c>
      <c r="D329" s="182"/>
      <c r="E329" s="182"/>
      <c r="F329" s="90"/>
      <c r="G329" s="90"/>
      <c r="H329" s="186"/>
      <c r="I329" s="186"/>
      <c r="J329" s="186"/>
    </row>
    <row r="330" spans="2:10" x14ac:dyDescent="0.25">
      <c r="B330" s="182"/>
      <c r="C330" s="182" t="s">
        <v>280</v>
      </c>
      <c r="D330" s="258"/>
      <c r="E330" s="258"/>
      <c r="F330" s="259"/>
      <c r="G330" s="259"/>
      <c r="H330" s="186"/>
      <c r="I330" s="186"/>
      <c r="J330" s="186"/>
    </row>
    <row r="331" spans="2:10" x14ac:dyDescent="0.25">
      <c r="B331" s="90"/>
      <c r="C331" s="90" t="s">
        <v>274</v>
      </c>
      <c r="D331" s="90"/>
      <c r="E331" s="258">
        <f>(G185+G186+G189+G187)/6</f>
        <v>5890.8516666666665</v>
      </c>
      <c r="F331" s="90"/>
      <c r="G331" s="259">
        <f>E331/E340*100</f>
        <v>22.65712863325798</v>
      </c>
      <c r="H331" s="186"/>
      <c r="I331" s="186"/>
      <c r="J331" s="186"/>
    </row>
    <row r="332" spans="2:10" x14ac:dyDescent="0.25">
      <c r="B332" s="90"/>
      <c r="C332" s="90"/>
      <c r="D332" s="90"/>
      <c r="E332" s="90"/>
      <c r="F332" s="90"/>
      <c r="G332" s="90"/>
      <c r="H332" s="186"/>
      <c r="I332" s="186"/>
      <c r="J332" s="186"/>
    </row>
    <row r="333" spans="2:10" x14ac:dyDescent="0.25">
      <c r="B333" s="257">
        <v>5</v>
      </c>
      <c r="C333" s="182" t="s">
        <v>281</v>
      </c>
      <c r="D333" s="90"/>
      <c r="E333" s="258">
        <f>(G188)/6</f>
        <v>55.816666666666663</v>
      </c>
      <c r="F333" s="90"/>
      <c r="G333" s="259">
        <f>E333/E340*100</f>
        <v>0.21467955197417968</v>
      </c>
      <c r="H333" s="186"/>
      <c r="I333" s="186"/>
      <c r="J333" s="186"/>
    </row>
    <row r="334" spans="2:10" x14ac:dyDescent="0.25">
      <c r="B334" s="182"/>
      <c r="C334" s="182"/>
      <c r="D334" s="182"/>
      <c r="E334" s="182"/>
      <c r="F334" s="90"/>
      <c r="G334" s="90"/>
      <c r="H334" s="186"/>
      <c r="I334" s="186"/>
      <c r="J334" s="186"/>
    </row>
    <row r="335" spans="2:10" x14ac:dyDescent="0.25">
      <c r="B335" s="182">
        <v>6</v>
      </c>
      <c r="C335" s="182" t="s">
        <v>282</v>
      </c>
      <c r="D335" s="258"/>
      <c r="E335" s="258">
        <v>0</v>
      </c>
      <c r="F335" s="261"/>
      <c r="G335" s="259">
        <f>E335/E340*100</f>
        <v>0</v>
      </c>
      <c r="H335" s="186"/>
      <c r="I335" s="186"/>
      <c r="J335" s="186"/>
    </row>
    <row r="336" spans="2:10" x14ac:dyDescent="0.25">
      <c r="B336" s="182"/>
      <c r="C336" s="182"/>
      <c r="D336" s="182"/>
      <c r="E336" s="182"/>
      <c r="F336" s="90"/>
      <c r="G336" s="90"/>
      <c r="H336" s="186"/>
      <c r="I336" s="186"/>
      <c r="J336" s="186"/>
    </row>
    <row r="337" spans="2:10" x14ac:dyDescent="0.25">
      <c r="B337" s="182"/>
      <c r="C337" s="182"/>
      <c r="D337" s="182"/>
      <c r="E337" s="182"/>
      <c r="F337" s="90"/>
      <c r="G337" s="90"/>
      <c r="H337" s="186"/>
      <c r="I337" s="186"/>
      <c r="J337" s="186"/>
    </row>
    <row r="338" spans="2:10" x14ac:dyDescent="0.25">
      <c r="B338" s="257">
        <v>7</v>
      </c>
      <c r="C338" s="182" t="s">
        <v>283</v>
      </c>
      <c r="D338" s="258"/>
      <c r="E338" s="258">
        <f>(G71+G190+G84)/6-0.57</f>
        <v>4921.4816666666675</v>
      </c>
      <c r="F338" s="259"/>
      <c r="G338" s="259">
        <f>E338/E340*100</f>
        <v>18.92878135412014</v>
      </c>
      <c r="H338" s="186"/>
      <c r="I338" s="186"/>
      <c r="J338" s="186"/>
    </row>
    <row r="339" spans="2:10" x14ac:dyDescent="0.25">
      <c r="B339" s="90"/>
      <c r="C339" s="90"/>
      <c r="D339" s="90"/>
      <c r="E339" s="90"/>
      <c r="F339" s="90"/>
      <c r="G339" s="90"/>
      <c r="H339" s="186"/>
      <c r="I339" s="186"/>
      <c r="J339" s="186"/>
    </row>
    <row r="340" spans="2:10" x14ac:dyDescent="0.25">
      <c r="B340" s="90"/>
      <c r="C340" s="262" t="s">
        <v>284</v>
      </c>
      <c r="D340" s="259"/>
      <c r="E340" s="263">
        <f>E323+E327+E331+E333+E338+0.85</f>
        <v>25999.992152666662</v>
      </c>
      <c r="F340" s="264"/>
      <c r="G340" s="259">
        <f>G323+G327+G331+G333+G335+G338</f>
        <v>99.996730768244049</v>
      </c>
      <c r="H340" s="186"/>
      <c r="I340" s="186"/>
      <c r="J340" s="186"/>
    </row>
    <row r="341" spans="2:10" x14ac:dyDescent="0.25">
      <c r="B341" s="90"/>
      <c r="C341" s="90"/>
      <c r="D341" s="90"/>
      <c r="E341" s="90"/>
      <c r="F341" s="90"/>
      <c r="G341" s="90"/>
      <c r="H341" s="186"/>
      <c r="I341" s="186"/>
      <c r="J341" s="186"/>
    </row>
    <row r="342" spans="2:10" x14ac:dyDescent="0.25">
      <c r="B342" s="90"/>
      <c r="C342" s="90"/>
      <c r="D342" s="90" t="s">
        <v>285</v>
      </c>
      <c r="E342" s="259">
        <f>D287/6</f>
        <v>25999.995354955452</v>
      </c>
      <c r="F342" s="90"/>
      <c r="G342" s="259"/>
      <c r="H342" s="186"/>
      <c r="I342" s="186"/>
      <c r="J342" s="186"/>
    </row>
    <row r="343" spans="2:10" x14ac:dyDescent="0.25">
      <c r="B343" s="93"/>
      <c r="C343" s="93"/>
      <c r="D343" s="93"/>
      <c r="E343" s="93"/>
      <c r="F343" s="93"/>
      <c r="G343" s="93"/>
    </row>
  </sheetData>
  <mergeCells count="150">
    <mergeCell ref="B35:B36"/>
    <mergeCell ref="D35:D36"/>
    <mergeCell ref="E35:E36"/>
    <mergeCell ref="F35:F36"/>
    <mergeCell ref="G35:G36"/>
    <mergeCell ref="B2:F2"/>
    <mergeCell ref="C14:G14"/>
    <mergeCell ref="C15:G15"/>
    <mergeCell ref="C25:J25"/>
    <mergeCell ref="C27:H27"/>
    <mergeCell ref="C28:D28"/>
    <mergeCell ref="H35:H36"/>
    <mergeCell ref="I35:I36"/>
    <mergeCell ref="J35:J36"/>
    <mergeCell ref="K35:K36"/>
    <mergeCell ref="L35:L36"/>
    <mergeCell ref="M35:M36"/>
    <mergeCell ref="C29:E29"/>
    <mergeCell ref="C30:G30"/>
    <mergeCell ref="C31:E31"/>
    <mergeCell ref="B39:B40"/>
    <mergeCell ref="D39:D40"/>
    <mergeCell ref="E39:E40"/>
    <mergeCell ref="F39:F40"/>
    <mergeCell ref="G39:G40"/>
    <mergeCell ref="B37:B38"/>
    <mergeCell ref="D37:D38"/>
    <mergeCell ref="E37:E38"/>
    <mergeCell ref="F37:F38"/>
    <mergeCell ref="G37:G38"/>
    <mergeCell ref="H39:H40"/>
    <mergeCell ref="I39:I40"/>
    <mergeCell ref="J39:J40"/>
    <mergeCell ref="K39:K40"/>
    <mergeCell ref="L39:L40"/>
    <mergeCell ref="M39:M40"/>
    <mergeCell ref="I37:I38"/>
    <mergeCell ref="J37:J38"/>
    <mergeCell ref="K37:K38"/>
    <mergeCell ref="L37:L38"/>
    <mergeCell ref="M37:M38"/>
    <mergeCell ref="H37:H38"/>
    <mergeCell ref="B43:B44"/>
    <mergeCell ref="D43:D44"/>
    <mergeCell ref="E43:E44"/>
    <mergeCell ref="F43:F44"/>
    <mergeCell ref="G43:G44"/>
    <mergeCell ref="B41:B42"/>
    <mergeCell ref="D41:D42"/>
    <mergeCell ref="E41:E42"/>
    <mergeCell ref="F41:F42"/>
    <mergeCell ref="G41:G42"/>
    <mergeCell ref="H43:H44"/>
    <mergeCell ref="I43:I44"/>
    <mergeCell ref="J43:J44"/>
    <mergeCell ref="K43:K44"/>
    <mergeCell ref="L43:L44"/>
    <mergeCell ref="M43:M44"/>
    <mergeCell ref="I41:I42"/>
    <mergeCell ref="J41:J42"/>
    <mergeCell ref="K41:K42"/>
    <mergeCell ref="L41:L42"/>
    <mergeCell ref="M41:M42"/>
    <mergeCell ref="H41:H42"/>
    <mergeCell ref="B47:B48"/>
    <mergeCell ref="D47:D48"/>
    <mergeCell ref="E47:E48"/>
    <mergeCell ref="F47:F48"/>
    <mergeCell ref="G47:G48"/>
    <mergeCell ref="B45:B46"/>
    <mergeCell ref="D45:D46"/>
    <mergeCell ref="E45:E46"/>
    <mergeCell ref="F45:F46"/>
    <mergeCell ref="G45:G46"/>
    <mergeCell ref="H47:H48"/>
    <mergeCell ref="I47:I48"/>
    <mergeCell ref="J47:J48"/>
    <mergeCell ref="K47:K48"/>
    <mergeCell ref="L47:L48"/>
    <mergeCell ref="M47:M48"/>
    <mergeCell ref="I45:I46"/>
    <mergeCell ref="J45:J46"/>
    <mergeCell ref="K45:K46"/>
    <mergeCell ref="L45:L46"/>
    <mergeCell ref="M45:M46"/>
    <mergeCell ref="H45:H46"/>
    <mergeCell ref="B51:B52"/>
    <mergeCell ref="D51:D52"/>
    <mergeCell ref="E51:E52"/>
    <mergeCell ref="F51:F52"/>
    <mergeCell ref="G51:G52"/>
    <mergeCell ref="B49:B50"/>
    <mergeCell ref="D49:D50"/>
    <mergeCell ref="E49:E50"/>
    <mergeCell ref="F49:F50"/>
    <mergeCell ref="G49:G50"/>
    <mergeCell ref="H51:H52"/>
    <mergeCell ref="I51:I52"/>
    <mergeCell ref="J51:J52"/>
    <mergeCell ref="K51:K52"/>
    <mergeCell ref="L51:L52"/>
    <mergeCell ref="M51:M52"/>
    <mergeCell ref="I49:I50"/>
    <mergeCell ref="J49:J50"/>
    <mergeCell ref="K49:K50"/>
    <mergeCell ref="L49:L50"/>
    <mergeCell ref="M49:M50"/>
    <mergeCell ref="H49:H50"/>
    <mergeCell ref="B55:B56"/>
    <mergeCell ref="D55:D56"/>
    <mergeCell ref="E55:E56"/>
    <mergeCell ref="F55:F56"/>
    <mergeCell ref="G55:G56"/>
    <mergeCell ref="B53:B54"/>
    <mergeCell ref="D53:D54"/>
    <mergeCell ref="E53:E54"/>
    <mergeCell ref="F53:F54"/>
    <mergeCell ref="G53:G54"/>
    <mergeCell ref="H55:H56"/>
    <mergeCell ref="I55:I56"/>
    <mergeCell ref="J55:J56"/>
    <mergeCell ref="K55:K56"/>
    <mergeCell ref="L55:L56"/>
    <mergeCell ref="M55:M56"/>
    <mergeCell ref="I53:I54"/>
    <mergeCell ref="J53:J54"/>
    <mergeCell ref="K53:K54"/>
    <mergeCell ref="L53:L54"/>
    <mergeCell ref="M53:M54"/>
    <mergeCell ref="H53:H54"/>
    <mergeCell ref="F119:G119"/>
    <mergeCell ref="C122:E122"/>
    <mergeCell ref="C140:G140"/>
    <mergeCell ref="C141:H141"/>
    <mergeCell ref="C158:F158"/>
    <mergeCell ref="C159:G159"/>
    <mergeCell ref="C86:F86"/>
    <mergeCell ref="B89:H89"/>
    <mergeCell ref="C100:G100"/>
    <mergeCell ref="C103:I103"/>
    <mergeCell ref="C306:F306"/>
    <mergeCell ref="C310:F310"/>
    <mergeCell ref="B312:C312"/>
    <mergeCell ref="F315:G315"/>
    <mergeCell ref="C160:G160"/>
    <mergeCell ref="G161:H161"/>
    <mergeCell ref="B170:F170"/>
    <mergeCell ref="C172:I172"/>
    <mergeCell ref="B181:D181"/>
    <mergeCell ref="B291:E291"/>
  </mergeCells>
  <pageMargins left="0.25" right="0.25" top="0.75" bottom="0.75" header="0.3" footer="0.3"/>
  <pageSetup paperSize="9" scale="58" orientation="landscape" r:id="rId1"/>
  <rowBreaks count="9" manualBreakCount="9">
    <brk id="58" max="11" man="1"/>
    <brk id="87" max="11" man="1"/>
    <brk id="98" max="11" man="1"/>
    <brk id="133" max="11" man="1"/>
    <brk id="180" max="11" man="1"/>
    <brk id="223" max="11" man="1"/>
    <brk id="258" max="11" man="1"/>
    <brk id="278" max="11" man="1"/>
    <brk id="316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9"/>
  <sheetViews>
    <sheetView view="pageBreakPreview" topLeftCell="B250" zoomScaleNormal="100" zoomScaleSheetLayoutView="100" workbookViewId="0">
      <selection activeCell="I211" sqref="I211"/>
    </sheetView>
  </sheetViews>
  <sheetFormatPr defaultRowHeight="18.75" x14ac:dyDescent="0.3"/>
  <cols>
    <col min="1" max="1" width="17" style="266" customWidth="1"/>
    <col min="2" max="2" width="8.28515625" style="266" customWidth="1"/>
    <col min="3" max="3" width="36.140625" style="266" customWidth="1"/>
    <col min="4" max="4" width="18" style="266" customWidth="1"/>
    <col min="5" max="5" width="16.42578125" style="266" customWidth="1"/>
    <col min="6" max="6" width="14.85546875" style="266" customWidth="1"/>
    <col min="7" max="7" width="15.5703125" style="266" customWidth="1"/>
    <col min="8" max="8" width="14" style="266" customWidth="1"/>
    <col min="9" max="9" width="18.5703125" style="266" customWidth="1"/>
    <col min="10" max="10" width="12.7109375" style="266" customWidth="1"/>
    <col min="11" max="11" width="19.5703125" style="266" customWidth="1"/>
    <col min="12" max="12" width="17.28515625" style="266" customWidth="1"/>
    <col min="13" max="13" width="17.85546875" style="266" customWidth="1"/>
    <col min="14" max="16384" width="9.140625" style="266"/>
  </cols>
  <sheetData>
    <row r="2" spans="2:9" x14ac:dyDescent="0.3">
      <c r="B2" s="530" t="s">
        <v>0</v>
      </c>
      <c r="C2" s="530"/>
      <c r="D2" s="530"/>
      <c r="E2" s="530"/>
      <c r="F2" s="530"/>
      <c r="G2" s="265"/>
      <c r="H2" s="265"/>
    </row>
    <row r="3" spans="2:9" x14ac:dyDescent="0.3">
      <c r="B3" s="265"/>
      <c r="C3" s="530" t="s">
        <v>1</v>
      </c>
      <c r="D3" s="530"/>
      <c r="E3" s="530"/>
      <c r="F3" s="265"/>
      <c r="G3" s="265"/>
      <c r="H3" s="265"/>
    </row>
    <row r="4" spans="2:9" ht="19.5" thickBot="1" x14ac:dyDescent="0.35">
      <c r="B4" s="265"/>
      <c r="C4" s="265"/>
      <c r="E4" s="265"/>
      <c r="F4" s="265"/>
      <c r="G4" s="265"/>
      <c r="H4" s="265"/>
    </row>
    <row r="5" spans="2:9" ht="19.5" thickBot="1" x14ac:dyDescent="0.35">
      <c r="D5" s="267" t="s">
        <v>2</v>
      </c>
    </row>
    <row r="6" spans="2:9" x14ac:dyDescent="0.3">
      <c r="B6" s="265"/>
      <c r="C6" s="265"/>
      <c r="D6" s="265"/>
      <c r="E6" s="268"/>
      <c r="F6" s="268"/>
      <c r="G6" s="268"/>
      <c r="H6" s="268"/>
    </row>
    <row r="7" spans="2:9" ht="54" x14ac:dyDescent="0.3">
      <c r="B7" s="269" t="s">
        <v>3</v>
      </c>
      <c r="C7" s="269" t="s">
        <v>4</v>
      </c>
      <c r="D7" s="270" t="s">
        <v>5</v>
      </c>
      <c r="E7" s="268"/>
      <c r="F7" s="268"/>
      <c r="G7" s="268"/>
      <c r="H7" s="268"/>
    </row>
    <row r="8" spans="2:9" ht="56.25" x14ac:dyDescent="0.3">
      <c r="B8" s="271">
        <v>1</v>
      </c>
      <c r="C8" s="451" t="s">
        <v>286</v>
      </c>
      <c r="D8" s="272">
        <v>443</v>
      </c>
      <c r="E8" s="265"/>
      <c r="F8" s="265"/>
      <c r="G8" s="265"/>
      <c r="H8" s="265"/>
      <c r="I8" s="273"/>
    </row>
    <row r="9" spans="2:9" x14ac:dyDescent="0.3">
      <c r="B9" s="271"/>
      <c r="C9" s="274"/>
      <c r="D9" s="274"/>
      <c r="E9" s="265"/>
      <c r="F9" s="265"/>
      <c r="G9" s="265"/>
      <c r="H9" s="265"/>
    </row>
    <row r="11" spans="2:9" x14ac:dyDescent="0.3">
      <c r="C11" s="275" t="s">
        <v>7</v>
      </c>
      <c r="D11" s="276"/>
      <c r="E11" s="265"/>
      <c r="F11" s="265"/>
      <c r="G11" s="265"/>
      <c r="H11" s="265"/>
    </row>
    <row r="12" spans="2:9" x14ac:dyDescent="0.3">
      <c r="C12" s="277" t="s">
        <v>287</v>
      </c>
      <c r="D12" s="277"/>
      <c r="E12" s="277"/>
      <c r="F12" s="277"/>
      <c r="G12" s="265"/>
      <c r="H12" s="265"/>
    </row>
    <row r="13" spans="2:9" x14ac:dyDescent="0.3">
      <c r="C13" s="277" t="s">
        <v>9</v>
      </c>
      <c r="D13" s="277"/>
      <c r="E13" s="277"/>
      <c r="F13" s="277"/>
      <c r="G13" s="265"/>
      <c r="H13" s="265"/>
    </row>
    <row r="14" spans="2:9" x14ac:dyDescent="0.3">
      <c r="C14" s="531" t="s">
        <v>10</v>
      </c>
      <c r="D14" s="531"/>
      <c r="E14" s="531"/>
      <c r="F14" s="531"/>
      <c r="G14" s="531"/>
      <c r="H14" s="265"/>
    </row>
    <row r="15" spans="2:9" x14ac:dyDescent="0.3">
      <c r="C15" s="531" t="s">
        <v>288</v>
      </c>
      <c r="D15" s="531"/>
      <c r="E15" s="531"/>
      <c r="F15" s="531"/>
      <c r="G15" s="531"/>
      <c r="H15" s="265"/>
    </row>
    <row r="16" spans="2:9" x14ac:dyDescent="0.3">
      <c r="C16" s="277" t="s">
        <v>12</v>
      </c>
      <c r="D16" s="277"/>
      <c r="E16" s="265"/>
      <c r="F16" s="265"/>
      <c r="G16" s="265"/>
      <c r="H16" s="265"/>
      <c r="I16" s="265"/>
    </row>
    <row r="17" spans="2:12" x14ac:dyDescent="0.3">
      <c r="B17" s="265"/>
      <c r="C17" s="265"/>
      <c r="D17" s="265"/>
      <c r="E17" s="265"/>
      <c r="F17" s="265"/>
      <c r="G17" s="265"/>
      <c r="H17" s="265"/>
      <c r="I17" s="265"/>
    </row>
    <row r="18" spans="2:12" x14ac:dyDescent="0.3">
      <c r="C18" s="278" t="s">
        <v>13</v>
      </c>
      <c r="D18" s="279"/>
      <c r="E18" s="280" t="s">
        <v>14</v>
      </c>
      <c r="F18" s="280"/>
      <c r="G18" s="281"/>
      <c r="H18" s="282"/>
      <c r="I18" s="282"/>
      <c r="J18" s="283"/>
    </row>
    <row r="19" spans="2:12" x14ac:dyDescent="0.3">
      <c r="C19" s="284" t="s">
        <v>15</v>
      </c>
      <c r="D19" s="284"/>
      <c r="E19" s="284"/>
      <c r="F19" s="284"/>
      <c r="G19" s="284"/>
      <c r="H19" s="282"/>
      <c r="I19" s="282"/>
    </row>
    <row r="20" spans="2:12" x14ac:dyDescent="0.3">
      <c r="C20" s="266" t="s">
        <v>16</v>
      </c>
      <c r="E20" s="282"/>
      <c r="F20" s="282"/>
      <c r="G20" s="285"/>
      <c r="H20" s="282"/>
      <c r="I20" s="282"/>
    </row>
    <row r="21" spans="2:12" x14ac:dyDescent="0.3">
      <c r="C21" s="286" t="s">
        <v>17</v>
      </c>
      <c r="D21" s="282"/>
      <c r="E21" s="282"/>
      <c r="F21" s="281"/>
      <c r="G21" s="281"/>
      <c r="H21" s="281"/>
      <c r="I21" s="282"/>
    </row>
    <row r="22" spans="2:12" x14ac:dyDescent="0.3">
      <c r="B22" s="282"/>
      <c r="C22" s="266" t="s">
        <v>18</v>
      </c>
      <c r="E22" s="282"/>
      <c r="F22" s="279"/>
      <c r="G22" s="287"/>
      <c r="H22" s="288"/>
      <c r="I22" s="282"/>
    </row>
    <row r="23" spans="2:12" x14ac:dyDescent="0.3">
      <c r="B23" s="282"/>
      <c r="C23" s="289" t="s">
        <v>19</v>
      </c>
      <c r="E23" s="290"/>
      <c r="F23" s="290"/>
      <c r="G23" s="285"/>
      <c r="H23" s="282"/>
      <c r="I23" s="282"/>
    </row>
    <row r="24" spans="2:12" x14ac:dyDescent="0.3">
      <c r="B24" s="282"/>
      <c r="C24" s="285"/>
      <c r="E24" s="291"/>
      <c r="F24" s="291"/>
      <c r="G24" s="285"/>
      <c r="H24" s="282"/>
      <c r="I24" s="282"/>
    </row>
    <row r="25" spans="2:12" ht="35.25" customHeight="1" x14ac:dyDescent="0.3">
      <c r="B25" s="265"/>
      <c r="C25" s="532" t="s">
        <v>289</v>
      </c>
      <c r="D25" s="532"/>
      <c r="E25" s="532"/>
      <c r="F25" s="532"/>
      <c r="G25" s="532"/>
      <c r="H25" s="532"/>
      <c r="I25" s="532"/>
      <c r="J25" s="532"/>
    </row>
    <row r="26" spans="2:12" x14ac:dyDescent="0.3">
      <c r="B26" s="265"/>
      <c r="C26" s="292"/>
      <c r="D26" s="265"/>
      <c r="E26" s="265"/>
      <c r="F26" s="265"/>
      <c r="G26" s="265"/>
      <c r="H26" s="265"/>
    </row>
    <row r="27" spans="2:12" x14ac:dyDescent="0.3">
      <c r="B27" s="293"/>
      <c r="C27" s="533" t="s">
        <v>290</v>
      </c>
      <c r="D27" s="533"/>
      <c r="E27" s="533"/>
      <c r="F27" s="533"/>
      <c r="G27" s="533"/>
      <c r="H27" s="533"/>
      <c r="I27" s="294"/>
      <c r="J27" s="295"/>
      <c r="K27" s="294"/>
    </row>
    <row r="28" spans="2:12" x14ac:dyDescent="0.3">
      <c r="B28" s="293"/>
      <c r="C28" s="537" t="s">
        <v>23</v>
      </c>
      <c r="D28" s="537"/>
      <c r="E28" s="294"/>
      <c r="F28" s="294"/>
      <c r="G28" s="296"/>
      <c r="H28" s="294"/>
      <c r="I28" s="294"/>
      <c r="J28" s="294"/>
      <c r="K28" s="294"/>
    </row>
    <row r="29" spans="2:12" x14ac:dyDescent="0.3">
      <c r="B29" s="293"/>
      <c r="C29" s="537" t="s">
        <v>24</v>
      </c>
      <c r="D29" s="537"/>
      <c r="E29" s="537"/>
      <c r="F29" s="294"/>
      <c r="G29" s="296"/>
      <c r="H29" s="294"/>
      <c r="I29" s="294"/>
      <c r="J29" s="294"/>
      <c r="K29" s="294"/>
    </row>
    <row r="30" spans="2:12" x14ac:dyDescent="0.3">
      <c r="B30" s="293"/>
      <c r="C30" s="537" t="s">
        <v>25</v>
      </c>
      <c r="D30" s="537"/>
      <c r="E30" s="537"/>
      <c r="F30" s="537"/>
      <c r="G30" s="537"/>
      <c r="H30" s="294"/>
      <c r="I30" s="294"/>
      <c r="J30" s="294"/>
      <c r="K30" s="294"/>
    </row>
    <row r="31" spans="2:12" ht="19.5" thickBot="1" x14ac:dyDescent="0.35">
      <c r="B31" s="293"/>
      <c r="C31" s="537" t="s">
        <v>26</v>
      </c>
      <c r="D31" s="537"/>
      <c r="E31" s="537"/>
      <c r="F31" s="296"/>
      <c r="G31" s="296"/>
      <c r="H31" s="294"/>
      <c r="I31" s="294"/>
      <c r="J31" s="294"/>
      <c r="K31" s="294"/>
    </row>
    <row r="32" spans="2:12" ht="19.5" thickBot="1" x14ac:dyDescent="0.35">
      <c r="B32" s="293"/>
      <c r="C32" s="296"/>
      <c r="D32" s="296"/>
      <c r="E32" s="296"/>
      <c r="F32" s="296"/>
      <c r="G32" s="296"/>
      <c r="H32" s="294"/>
      <c r="I32" s="294"/>
      <c r="J32" s="294"/>
      <c r="K32" s="294"/>
      <c r="L32" s="267" t="s">
        <v>22</v>
      </c>
    </row>
    <row r="33" spans="2:14" x14ac:dyDescent="0.3">
      <c r="B33" s="297"/>
      <c r="C33" s="297"/>
      <c r="D33" s="297"/>
      <c r="E33" s="297"/>
      <c r="F33" s="297"/>
      <c r="G33" s="297"/>
      <c r="H33" s="298"/>
      <c r="I33" s="297"/>
      <c r="J33" s="297"/>
      <c r="K33" s="297"/>
      <c r="M33" s="297"/>
      <c r="N33" s="297"/>
    </row>
    <row r="34" spans="2:14" ht="144" x14ac:dyDescent="0.3">
      <c r="B34" s="269" t="s">
        <v>3</v>
      </c>
      <c r="C34" s="299" t="s">
        <v>27</v>
      </c>
      <c r="D34" s="270" t="s">
        <v>28</v>
      </c>
      <c r="E34" s="270" t="s">
        <v>29</v>
      </c>
      <c r="F34" s="300" t="s">
        <v>30</v>
      </c>
      <c r="G34" s="300" t="s">
        <v>31</v>
      </c>
      <c r="H34" s="270" t="s">
        <v>32</v>
      </c>
      <c r="I34" s="270" t="s">
        <v>33</v>
      </c>
      <c r="J34" s="270" t="s">
        <v>34</v>
      </c>
      <c r="K34" s="270" t="s">
        <v>35</v>
      </c>
      <c r="L34" s="301" t="s">
        <v>36</v>
      </c>
      <c r="M34" s="297"/>
      <c r="N34" s="297"/>
    </row>
    <row r="35" spans="2:14" x14ac:dyDescent="0.3">
      <c r="B35" s="271">
        <v>1</v>
      </c>
      <c r="C35" s="271">
        <v>2</v>
      </c>
      <c r="D35" s="271">
        <v>3</v>
      </c>
      <c r="E35" s="271">
        <v>4</v>
      </c>
      <c r="F35" s="271">
        <v>5</v>
      </c>
      <c r="G35" s="271">
        <v>6</v>
      </c>
      <c r="H35" s="271">
        <v>8</v>
      </c>
      <c r="I35" s="271">
        <v>8</v>
      </c>
      <c r="J35" s="271">
        <v>9</v>
      </c>
      <c r="K35" s="271">
        <v>10</v>
      </c>
      <c r="L35" s="302">
        <v>11</v>
      </c>
      <c r="M35" s="297"/>
      <c r="N35" s="297"/>
    </row>
    <row r="36" spans="2:14" x14ac:dyDescent="0.3">
      <c r="B36" s="524">
        <v>1</v>
      </c>
      <c r="C36" s="303"/>
      <c r="D36" s="526">
        <v>4.3</v>
      </c>
      <c r="E36" s="526">
        <v>1.2</v>
      </c>
      <c r="F36" s="528">
        <v>7520</v>
      </c>
      <c r="G36" s="526">
        <f>F36/77.4*D36*E36</f>
        <v>501.33333333333326</v>
      </c>
      <c r="H36" s="526">
        <f>G36*3</f>
        <v>1503.9999999999998</v>
      </c>
      <c r="I36" s="526">
        <f>(H36+G36)*0.15</f>
        <v>300.79999999999995</v>
      </c>
      <c r="J36" s="526">
        <f>I36+H36+G36</f>
        <v>2306.1333333333332</v>
      </c>
      <c r="K36" s="526">
        <f>J36*0.302</f>
        <v>696.45226666666656</v>
      </c>
      <c r="L36" s="534">
        <f>(J36+K36)*6</f>
        <v>18015.513599999998</v>
      </c>
      <c r="M36" s="536"/>
      <c r="N36" s="297"/>
    </row>
    <row r="37" spans="2:14" x14ac:dyDescent="0.3">
      <c r="B37" s="525"/>
      <c r="C37" s="304" t="s">
        <v>37</v>
      </c>
      <c r="D37" s="527"/>
      <c r="E37" s="527"/>
      <c r="F37" s="529"/>
      <c r="G37" s="527"/>
      <c r="H37" s="527"/>
      <c r="I37" s="527"/>
      <c r="J37" s="527"/>
      <c r="K37" s="527"/>
      <c r="L37" s="535"/>
      <c r="M37" s="536"/>
      <c r="N37" s="297"/>
    </row>
    <row r="38" spans="2:14" x14ac:dyDescent="0.3">
      <c r="B38" s="524">
        <v>2</v>
      </c>
      <c r="C38" s="303"/>
      <c r="D38" s="526"/>
      <c r="E38" s="526">
        <v>1.2</v>
      </c>
      <c r="F38" s="528">
        <v>7520</v>
      </c>
      <c r="G38" s="526">
        <f>F38/77.4*D38*E38</f>
        <v>0</v>
      </c>
      <c r="H38" s="526">
        <f>G38*0.9</f>
        <v>0</v>
      </c>
      <c r="I38" s="526">
        <f t="shared" ref="I38" si="0">(H38+G38)*0.15</f>
        <v>0</v>
      </c>
      <c r="J38" s="526">
        <f t="shared" ref="J38:J56" si="1">I38+H38+G38</f>
        <v>0</v>
      </c>
      <c r="K38" s="526">
        <f>J38*0.302</f>
        <v>0</v>
      </c>
      <c r="L38" s="534">
        <f t="shared" ref="L38" si="2">(J38+K38)*3</f>
        <v>0</v>
      </c>
      <c r="M38" s="536"/>
      <c r="N38" s="297"/>
    </row>
    <row r="39" spans="2:14" x14ac:dyDescent="0.3">
      <c r="B39" s="525"/>
      <c r="C39" s="304"/>
      <c r="D39" s="527"/>
      <c r="E39" s="527"/>
      <c r="F39" s="529"/>
      <c r="G39" s="527"/>
      <c r="H39" s="527"/>
      <c r="I39" s="527"/>
      <c r="J39" s="527"/>
      <c r="K39" s="527"/>
      <c r="L39" s="535"/>
      <c r="M39" s="536"/>
      <c r="N39" s="297"/>
    </row>
    <row r="40" spans="2:14" x14ac:dyDescent="0.3">
      <c r="B40" s="524">
        <v>3</v>
      </c>
      <c r="C40" s="303"/>
      <c r="D40" s="526"/>
      <c r="E40" s="526">
        <v>1.2</v>
      </c>
      <c r="F40" s="528">
        <v>7520</v>
      </c>
      <c r="G40" s="526">
        <f>F40/77.4*D40*E40</f>
        <v>0</v>
      </c>
      <c r="H40" s="526">
        <f t="shared" ref="H40" si="3">G40*0.9</f>
        <v>0</v>
      </c>
      <c r="I40" s="526">
        <f t="shared" ref="I40" si="4">(H40+G40)*0.15</f>
        <v>0</v>
      </c>
      <c r="J40" s="526">
        <f t="shared" si="1"/>
        <v>0</v>
      </c>
      <c r="K40" s="526">
        <f>J40*0.302</f>
        <v>0</v>
      </c>
      <c r="L40" s="534">
        <f t="shared" ref="L40" si="5">(J40+K40)*3</f>
        <v>0</v>
      </c>
      <c r="M40" s="536"/>
      <c r="N40" s="297"/>
    </row>
    <row r="41" spans="2:14" x14ac:dyDescent="0.3">
      <c r="B41" s="525"/>
      <c r="C41" s="304"/>
      <c r="D41" s="527"/>
      <c r="E41" s="527"/>
      <c r="F41" s="529"/>
      <c r="G41" s="527"/>
      <c r="H41" s="527"/>
      <c r="I41" s="527"/>
      <c r="J41" s="527"/>
      <c r="K41" s="527"/>
      <c r="L41" s="535"/>
      <c r="M41" s="536"/>
      <c r="N41" s="297"/>
    </row>
    <row r="42" spans="2:14" x14ac:dyDescent="0.3">
      <c r="B42" s="524">
        <v>4</v>
      </c>
      <c r="C42" s="303"/>
      <c r="D42" s="526"/>
      <c r="E42" s="526">
        <v>1.2</v>
      </c>
      <c r="F42" s="528">
        <v>7520</v>
      </c>
      <c r="G42" s="526">
        <f>F42/77.4*D42*E42</f>
        <v>0</v>
      </c>
      <c r="H42" s="526">
        <f t="shared" ref="H42" si="6">G42*0.9</f>
        <v>0</v>
      </c>
      <c r="I42" s="526">
        <f t="shared" ref="I42" si="7">(H42+G42)*0.15</f>
        <v>0</v>
      </c>
      <c r="J42" s="526">
        <f t="shared" si="1"/>
        <v>0</v>
      </c>
      <c r="K42" s="526">
        <f>J42*0.302</f>
        <v>0</v>
      </c>
      <c r="L42" s="534">
        <f t="shared" ref="L42" si="8">(J42+K42)*3</f>
        <v>0</v>
      </c>
      <c r="M42" s="536"/>
      <c r="N42" s="297"/>
    </row>
    <row r="43" spans="2:14" x14ac:dyDescent="0.3">
      <c r="B43" s="525"/>
      <c r="C43" s="304"/>
      <c r="D43" s="527"/>
      <c r="E43" s="527"/>
      <c r="F43" s="529"/>
      <c r="G43" s="527"/>
      <c r="H43" s="527"/>
      <c r="I43" s="527"/>
      <c r="J43" s="527"/>
      <c r="K43" s="527"/>
      <c r="L43" s="535"/>
      <c r="M43" s="536"/>
      <c r="N43" s="297"/>
    </row>
    <row r="44" spans="2:14" x14ac:dyDescent="0.3">
      <c r="B44" s="524">
        <v>5</v>
      </c>
      <c r="C44" s="303"/>
      <c r="D44" s="526"/>
      <c r="E44" s="526">
        <v>1.2</v>
      </c>
      <c r="F44" s="528">
        <v>7520</v>
      </c>
      <c r="G44" s="526">
        <f>F44/77.4*D44*E44</f>
        <v>0</v>
      </c>
      <c r="H44" s="526">
        <f t="shared" ref="H44" si="9">G44*0.9</f>
        <v>0</v>
      </c>
      <c r="I44" s="526">
        <f t="shared" ref="I44" si="10">(H44+G44)*0.15</f>
        <v>0</v>
      </c>
      <c r="J44" s="526">
        <f t="shared" si="1"/>
        <v>0</v>
      </c>
      <c r="K44" s="526">
        <f>J44*0.302</f>
        <v>0</v>
      </c>
      <c r="L44" s="534">
        <f t="shared" ref="L44" si="11">(J44+K44)*3</f>
        <v>0</v>
      </c>
      <c r="M44" s="536"/>
      <c r="N44" s="297"/>
    </row>
    <row r="45" spans="2:14" x14ac:dyDescent="0.3">
      <c r="B45" s="525"/>
      <c r="C45" s="304"/>
      <c r="D45" s="527"/>
      <c r="E45" s="527"/>
      <c r="F45" s="529"/>
      <c r="G45" s="527"/>
      <c r="H45" s="527"/>
      <c r="I45" s="527"/>
      <c r="J45" s="527"/>
      <c r="K45" s="527"/>
      <c r="L45" s="535"/>
      <c r="M45" s="536"/>
      <c r="N45" s="297"/>
    </row>
    <row r="46" spans="2:14" x14ac:dyDescent="0.3">
      <c r="B46" s="524">
        <v>6</v>
      </c>
      <c r="C46" s="303"/>
      <c r="D46" s="526"/>
      <c r="E46" s="526">
        <v>1.2</v>
      </c>
      <c r="F46" s="528">
        <v>7520</v>
      </c>
      <c r="G46" s="526">
        <f>F46/77.4*D46*E46</f>
        <v>0</v>
      </c>
      <c r="H46" s="526">
        <f>G46*2</f>
        <v>0</v>
      </c>
      <c r="I46" s="526">
        <f t="shared" ref="I46" si="12">(H46+G46)*0.15</f>
        <v>0</v>
      </c>
      <c r="J46" s="526">
        <f t="shared" si="1"/>
        <v>0</v>
      </c>
      <c r="K46" s="526">
        <f>J46*0.302</f>
        <v>0</v>
      </c>
      <c r="L46" s="534">
        <f t="shared" ref="L46" si="13">(J46+K46)*3</f>
        <v>0</v>
      </c>
      <c r="M46" s="536"/>
      <c r="N46" s="297"/>
    </row>
    <row r="47" spans="2:14" x14ac:dyDescent="0.3">
      <c r="B47" s="525"/>
      <c r="C47" s="304"/>
      <c r="D47" s="527"/>
      <c r="E47" s="527"/>
      <c r="F47" s="529"/>
      <c r="G47" s="527"/>
      <c r="H47" s="527"/>
      <c r="I47" s="527"/>
      <c r="J47" s="527"/>
      <c r="K47" s="527"/>
      <c r="L47" s="535"/>
      <c r="M47" s="536"/>
      <c r="N47" s="297"/>
    </row>
    <row r="48" spans="2:14" x14ac:dyDescent="0.3">
      <c r="B48" s="524">
        <v>7</v>
      </c>
      <c r="C48" s="303"/>
      <c r="D48" s="526"/>
      <c r="E48" s="526">
        <v>1.2</v>
      </c>
      <c r="F48" s="528">
        <v>7520</v>
      </c>
      <c r="G48" s="526">
        <f>F48/77.4*D48*E48</f>
        <v>0</v>
      </c>
      <c r="H48" s="526">
        <f t="shared" ref="H48" si="14">G48*0.9</f>
        <v>0</v>
      </c>
      <c r="I48" s="526">
        <f t="shared" ref="I48" si="15">(H48+G48)*0.15</f>
        <v>0</v>
      </c>
      <c r="J48" s="526">
        <f t="shared" si="1"/>
        <v>0</v>
      </c>
      <c r="K48" s="526">
        <f>J48*0.302</f>
        <v>0</v>
      </c>
      <c r="L48" s="534">
        <f t="shared" ref="L48" si="16">(J48+K48)*3</f>
        <v>0</v>
      </c>
      <c r="M48" s="536"/>
      <c r="N48" s="297"/>
    </row>
    <row r="49" spans="2:14" x14ac:dyDescent="0.3">
      <c r="B49" s="525"/>
      <c r="C49" s="304"/>
      <c r="D49" s="527"/>
      <c r="E49" s="527"/>
      <c r="F49" s="529"/>
      <c r="G49" s="527"/>
      <c r="H49" s="527"/>
      <c r="I49" s="527"/>
      <c r="J49" s="527"/>
      <c r="K49" s="527"/>
      <c r="L49" s="535"/>
      <c r="M49" s="536"/>
      <c r="N49" s="297"/>
    </row>
    <row r="50" spans="2:14" x14ac:dyDescent="0.3">
      <c r="B50" s="524">
        <v>8</v>
      </c>
      <c r="C50" s="303"/>
      <c r="D50" s="526"/>
      <c r="E50" s="526">
        <v>1.2</v>
      </c>
      <c r="F50" s="528">
        <v>7520</v>
      </c>
      <c r="G50" s="526">
        <f>F50/77.4*D50*E50</f>
        <v>0</v>
      </c>
      <c r="H50" s="526">
        <f t="shared" ref="H50" si="17">G50*0.9</f>
        <v>0</v>
      </c>
      <c r="I50" s="526">
        <f t="shared" ref="I50" si="18">(H50+G50)*0.15</f>
        <v>0</v>
      </c>
      <c r="J50" s="526">
        <f t="shared" si="1"/>
        <v>0</v>
      </c>
      <c r="K50" s="526">
        <f>J50*0.302</f>
        <v>0</v>
      </c>
      <c r="L50" s="534">
        <f t="shared" ref="L50" si="19">(J50+K50)*3</f>
        <v>0</v>
      </c>
      <c r="M50" s="536"/>
      <c r="N50" s="297"/>
    </row>
    <row r="51" spans="2:14" x14ac:dyDescent="0.3">
      <c r="B51" s="525"/>
      <c r="C51" s="304"/>
      <c r="D51" s="527"/>
      <c r="E51" s="527"/>
      <c r="F51" s="529"/>
      <c r="G51" s="527"/>
      <c r="H51" s="527"/>
      <c r="I51" s="527"/>
      <c r="J51" s="527"/>
      <c r="K51" s="527"/>
      <c r="L51" s="535"/>
      <c r="M51" s="536"/>
      <c r="N51" s="297"/>
    </row>
    <row r="52" spans="2:14" x14ac:dyDescent="0.3">
      <c r="B52" s="524">
        <v>9</v>
      </c>
      <c r="C52" s="303"/>
      <c r="D52" s="526"/>
      <c r="E52" s="526">
        <v>1.2</v>
      </c>
      <c r="F52" s="528">
        <v>7520</v>
      </c>
      <c r="G52" s="526">
        <f>F52/77.4*D52*E52</f>
        <v>0</v>
      </c>
      <c r="H52" s="526">
        <f t="shared" ref="H52" si="20">G52*0.9</f>
        <v>0</v>
      </c>
      <c r="I52" s="526">
        <f t="shared" ref="I52" si="21">(H52+G52)*0.15</f>
        <v>0</v>
      </c>
      <c r="J52" s="526">
        <f t="shared" si="1"/>
        <v>0</v>
      </c>
      <c r="K52" s="526">
        <f>J52*0.302</f>
        <v>0</v>
      </c>
      <c r="L52" s="534">
        <f t="shared" ref="L52" si="22">(J52+K52)*3</f>
        <v>0</v>
      </c>
      <c r="M52" s="536"/>
      <c r="N52" s="297"/>
    </row>
    <row r="53" spans="2:14" x14ac:dyDescent="0.3">
      <c r="B53" s="525"/>
      <c r="C53" s="304"/>
      <c r="D53" s="527"/>
      <c r="E53" s="527"/>
      <c r="F53" s="529"/>
      <c r="G53" s="527"/>
      <c r="H53" s="527"/>
      <c r="I53" s="527"/>
      <c r="J53" s="527"/>
      <c r="K53" s="527"/>
      <c r="L53" s="535"/>
      <c r="M53" s="536"/>
      <c r="N53" s="297"/>
    </row>
    <row r="54" spans="2:14" x14ac:dyDescent="0.3">
      <c r="B54" s="524">
        <v>10</v>
      </c>
      <c r="C54" s="303"/>
      <c r="D54" s="526"/>
      <c r="E54" s="526">
        <v>1.2</v>
      </c>
      <c r="F54" s="528">
        <v>7520</v>
      </c>
      <c r="G54" s="526">
        <f>F54/77.4*D54*E54</f>
        <v>0</v>
      </c>
      <c r="H54" s="526">
        <f t="shared" ref="H54" si="23">G54*0.9</f>
        <v>0</v>
      </c>
      <c r="I54" s="526">
        <f t="shared" ref="I54" si="24">(H54+G54)*0.15</f>
        <v>0</v>
      </c>
      <c r="J54" s="526">
        <f t="shared" si="1"/>
        <v>0</v>
      </c>
      <c r="K54" s="526">
        <f>J54*0.302</f>
        <v>0</v>
      </c>
      <c r="L54" s="534">
        <f t="shared" ref="L54" si="25">(J54+K54)*3</f>
        <v>0</v>
      </c>
      <c r="M54" s="536"/>
      <c r="N54" s="297"/>
    </row>
    <row r="55" spans="2:14" x14ac:dyDescent="0.3">
      <c r="B55" s="525"/>
      <c r="C55" s="304"/>
      <c r="D55" s="527"/>
      <c r="E55" s="527"/>
      <c r="F55" s="529"/>
      <c r="G55" s="527"/>
      <c r="H55" s="527"/>
      <c r="I55" s="527"/>
      <c r="J55" s="527"/>
      <c r="K55" s="527"/>
      <c r="L55" s="535"/>
      <c r="M55" s="536"/>
      <c r="N55" s="297"/>
    </row>
    <row r="56" spans="2:14" x14ac:dyDescent="0.3">
      <c r="B56" s="524">
        <v>10</v>
      </c>
      <c r="C56" s="303"/>
      <c r="D56" s="526"/>
      <c r="E56" s="526">
        <v>1.2</v>
      </c>
      <c r="F56" s="528">
        <v>7520</v>
      </c>
      <c r="G56" s="526">
        <f>F56/77.4*D56*E56</f>
        <v>0</v>
      </c>
      <c r="H56" s="526">
        <f t="shared" ref="H56" si="26">G56*0.9</f>
        <v>0</v>
      </c>
      <c r="I56" s="526">
        <f t="shared" ref="I56" si="27">(H56+G56)*0.15</f>
        <v>0</v>
      </c>
      <c r="J56" s="526">
        <f t="shared" si="1"/>
        <v>0</v>
      </c>
      <c r="K56" s="526">
        <f>J56*0.302</f>
        <v>0</v>
      </c>
      <c r="L56" s="534">
        <f t="shared" ref="L56" si="28">(J56+K56)*3</f>
        <v>0</v>
      </c>
      <c r="M56" s="536"/>
      <c r="N56" s="297"/>
    </row>
    <row r="57" spans="2:14" x14ac:dyDescent="0.3">
      <c r="B57" s="525"/>
      <c r="C57" s="304"/>
      <c r="D57" s="527"/>
      <c r="E57" s="527"/>
      <c r="F57" s="529"/>
      <c r="G57" s="527"/>
      <c r="H57" s="527"/>
      <c r="I57" s="527"/>
      <c r="J57" s="527"/>
      <c r="K57" s="527"/>
      <c r="L57" s="535"/>
      <c r="M57" s="536"/>
      <c r="N57" s="297"/>
    </row>
    <row r="58" spans="2:14" x14ac:dyDescent="0.3">
      <c r="B58" s="305"/>
      <c r="C58" s="306" t="s">
        <v>38</v>
      </c>
      <c r="D58" s="307">
        <f>D36+D38+D40+D42+D44+D46+D48+D50+D52+D54+D56</f>
        <v>4.3</v>
      </c>
      <c r="E58" s="307"/>
      <c r="F58" s="305"/>
      <c r="G58" s="307"/>
      <c r="H58" s="307"/>
      <c r="I58" s="307"/>
      <c r="J58" s="307">
        <f t="shared" ref="J58:K58" si="29">J36+J38+J40+J42+J44+J46+J48+J50+J52+J54+J56</f>
        <v>2306.1333333333332</v>
      </c>
      <c r="K58" s="307">
        <f t="shared" si="29"/>
        <v>696.45226666666656</v>
      </c>
      <c r="L58" s="307">
        <f>L36+L38+L40+L42+L44+L46+L48+L50+L52+L54+L56</f>
        <v>18015.513599999998</v>
      </c>
      <c r="M58" s="297"/>
      <c r="N58" s="297"/>
    </row>
    <row r="59" spans="2:14" ht="19.5" thickBot="1" x14ac:dyDescent="0.35"/>
    <row r="60" spans="2:14" ht="19.5" thickBot="1" x14ac:dyDescent="0.35">
      <c r="B60" s="265"/>
      <c r="C60" s="308" t="s">
        <v>39</v>
      </c>
      <c r="D60" s="265"/>
      <c r="E60" s="265"/>
      <c r="F60" s="265"/>
      <c r="G60" s="267" t="s">
        <v>40</v>
      </c>
      <c r="H60" s="265"/>
      <c r="I60" s="265"/>
      <c r="J60" s="265"/>
    </row>
    <row r="62" spans="2:14" ht="108" x14ac:dyDescent="0.3">
      <c r="B62" s="269" t="s">
        <v>3</v>
      </c>
      <c r="C62" s="299" t="s">
        <v>41</v>
      </c>
      <c r="D62" s="299" t="s">
        <v>42</v>
      </c>
      <c r="E62" s="299" t="s">
        <v>43</v>
      </c>
      <c r="F62" s="299" t="s">
        <v>44</v>
      </c>
      <c r="G62" s="299" t="s">
        <v>45</v>
      </c>
      <c r="H62" s="265"/>
      <c r="I62" s="265"/>
      <c r="J62" s="265"/>
    </row>
    <row r="63" spans="2:14" x14ac:dyDescent="0.3">
      <c r="B63" s="271">
        <v>1</v>
      </c>
      <c r="C63" s="271">
        <v>2</v>
      </c>
      <c r="D63" s="271">
        <v>3</v>
      </c>
      <c r="E63" s="271">
        <v>4</v>
      </c>
      <c r="F63" s="271">
        <v>5</v>
      </c>
      <c r="G63" s="271">
        <v>6</v>
      </c>
      <c r="H63" s="268"/>
      <c r="I63" s="265"/>
      <c r="J63" s="266" t="s">
        <v>46</v>
      </c>
    </row>
    <row r="64" spans="2:14" x14ac:dyDescent="0.3">
      <c r="B64" s="309">
        <v>1</v>
      </c>
      <c r="C64" s="310" t="s">
        <v>47</v>
      </c>
      <c r="D64" s="309"/>
      <c r="E64" s="309"/>
      <c r="F64" s="311"/>
      <c r="G64" s="311"/>
      <c r="H64" s="312"/>
      <c r="I64" s="313"/>
      <c r="J64" s="271" t="s">
        <v>48</v>
      </c>
      <c r="K64" s="314" t="s">
        <v>49</v>
      </c>
      <c r="L64" s="315" t="s">
        <v>291</v>
      </c>
    </row>
    <row r="65" spans="2:13" x14ac:dyDescent="0.3">
      <c r="B65" s="309"/>
      <c r="C65" s="310" t="s">
        <v>50</v>
      </c>
      <c r="D65" s="309" t="s">
        <v>51</v>
      </c>
      <c r="E65" s="309">
        <v>3</v>
      </c>
      <c r="F65" s="311">
        <v>225</v>
      </c>
      <c r="G65" s="311">
        <f>E65*F65</f>
        <v>675</v>
      </c>
      <c r="H65" s="312"/>
      <c r="I65" s="274" t="s">
        <v>292</v>
      </c>
      <c r="J65" s="316">
        <f>L58</f>
        <v>18015.513599999998</v>
      </c>
      <c r="K65" s="317">
        <f>J65/J69*100</f>
        <v>60.188168062653325</v>
      </c>
      <c r="L65" s="318">
        <v>0.6</v>
      </c>
    </row>
    <row r="66" spans="2:13" x14ac:dyDescent="0.3">
      <c r="B66" s="309"/>
      <c r="C66" s="310" t="s">
        <v>53</v>
      </c>
      <c r="D66" s="309" t="s">
        <v>54</v>
      </c>
      <c r="E66" s="309">
        <v>1</v>
      </c>
      <c r="F66" s="311">
        <v>3500</v>
      </c>
      <c r="G66" s="311">
        <f>E66*F66</f>
        <v>3500</v>
      </c>
      <c r="H66" s="312"/>
      <c r="I66" s="274" t="s">
        <v>55</v>
      </c>
      <c r="J66" s="316">
        <f>K102</f>
        <v>11916.471672</v>
      </c>
      <c r="K66" s="317">
        <f>J66/J69*100</f>
        <v>39.811831937346682</v>
      </c>
      <c r="L66" s="318">
        <v>0.4</v>
      </c>
    </row>
    <row r="67" spans="2:13" x14ac:dyDescent="0.3">
      <c r="B67" s="309"/>
      <c r="C67" s="310"/>
      <c r="D67" s="309"/>
      <c r="E67" s="309"/>
      <c r="F67" s="311"/>
      <c r="G67" s="311">
        <f>E67*F67</f>
        <v>0</v>
      </c>
      <c r="H67" s="312"/>
      <c r="I67" s="274" t="s">
        <v>57</v>
      </c>
      <c r="J67" s="315">
        <v>0</v>
      </c>
      <c r="K67" s="315"/>
      <c r="L67" s="315"/>
    </row>
    <row r="68" spans="2:13" x14ac:dyDescent="0.3">
      <c r="B68" s="309">
        <v>2</v>
      </c>
      <c r="C68" s="310" t="s">
        <v>58</v>
      </c>
      <c r="D68" s="309" t="s">
        <v>59</v>
      </c>
      <c r="E68" s="309">
        <v>20</v>
      </c>
      <c r="F68" s="311">
        <v>450</v>
      </c>
      <c r="G68" s="311">
        <f t="shared" ref="G68:G69" si="30">E68*F68</f>
        <v>9000</v>
      </c>
      <c r="H68" s="312"/>
      <c r="I68" s="274"/>
      <c r="J68" s="315"/>
      <c r="K68" s="315"/>
      <c r="L68" s="315"/>
    </row>
    <row r="69" spans="2:13" x14ac:dyDescent="0.3">
      <c r="B69" s="309"/>
      <c r="C69" s="310" t="s">
        <v>60</v>
      </c>
      <c r="D69" s="309" t="s">
        <v>59</v>
      </c>
      <c r="E69" s="309">
        <v>2</v>
      </c>
      <c r="F69" s="311">
        <v>220</v>
      </c>
      <c r="G69" s="311">
        <f t="shared" si="30"/>
        <v>440</v>
      </c>
      <c r="H69" s="312"/>
      <c r="I69" s="319" t="s">
        <v>61</v>
      </c>
      <c r="J69" s="317">
        <f>SUM(J65:J68)</f>
        <v>29931.985271999998</v>
      </c>
      <c r="K69" s="315"/>
      <c r="L69" s="315"/>
    </row>
    <row r="70" spans="2:13" x14ac:dyDescent="0.3">
      <c r="B70" s="320">
        <v>3</v>
      </c>
      <c r="C70" s="321" t="s">
        <v>62</v>
      </c>
      <c r="D70" s="309" t="s">
        <v>63</v>
      </c>
      <c r="E70" s="320"/>
      <c r="F70" s="322"/>
      <c r="G70" s="322">
        <f>G84</f>
        <v>790</v>
      </c>
      <c r="H70" s="323"/>
    </row>
    <row r="71" spans="2:13" x14ac:dyDescent="0.3">
      <c r="B71" s="321"/>
      <c r="C71" s="321"/>
      <c r="D71" s="320"/>
      <c r="E71" s="320"/>
      <c r="F71" s="322"/>
      <c r="G71" s="322"/>
      <c r="H71" s="323"/>
    </row>
    <row r="72" spans="2:13" x14ac:dyDescent="0.3">
      <c r="B72" s="274"/>
      <c r="C72" s="324" t="s">
        <v>64</v>
      </c>
      <c r="D72" s="325"/>
      <c r="E72" s="325"/>
      <c r="F72" s="325"/>
      <c r="G72" s="326">
        <f>G65+G66+G67+G68+G69+G70</f>
        <v>14405</v>
      </c>
      <c r="H72" s="327"/>
    </row>
    <row r="73" spans="2:13" x14ac:dyDescent="0.3">
      <c r="B73" s="265"/>
      <c r="C73" s="265"/>
      <c r="D73" s="265"/>
      <c r="E73" s="265"/>
      <c r="F73" s="265"/>
      <c r="G73" s="265"/>
      <c r="H73" s="268"/>
    </row>
    <row r="74" spans="2:13" x14ac:dyDescent="0.3">
      <c r="B74" s="279"/>
      <c r="C74" s="328" t="s">
        <v>65</v>
      </c>
      <c r="D74" s="329"/>
      <c r="E74" s="329"/>
      <c r="F74" s="329"/>
      <c r="G74" s="329"/>
      <c r="H74" s="330"/>
      <c r="I74" s="275"/>
      <c r="J74" s="331"/>
      <c r="K74" s="331"/>
      <c r="L74" s="331"/>
      <c r="M74" s="331"/>
    </row>
    <row r="75" spans="2:13" x14ac:dyDescent="0.3">
      <c r="B75" s="329"/>
      <c r="C75" s="329"/>
      <c r="D75" s="329"/>
      <c r="E75" s="329"/>
      <c r="F75" s="329"/>
      <c r="G75" s="329"/>
      <c r="H75" s="330"/>
      <c r="I75" s="275"/>
      <c r="J75" s="331"/>
      <c r="K75" s="331"/>
      <c r="L75" s="331"/>
      <c r="M75" s="331"/>
    </row>
    <row r="76" spans="2:13" ht="162" x14ac:dyDescent="0.3">
      <c r="B76" s="332" t="s">
        <v>3</v>
      </c>
      <c r="C76" s="2" t="s">
        <v>66</v>
      </c>
      <c r="D76" s="333" t="s">
        <v>42</v>
      </c>
      <c r="E76" s="334" t="s">
        <v>67</v>
      </c>
      <c r="F76" s="333" t="s">
        <v>44</v>
      </c>
      <c r="G76" s="333" t="s">
        <v>68</v>
      </c>
      <c r="H76" s="3"/>
      <c r="I76" s="4"/>
      <c r="J76" s="3"/>
      <c r="K76" s="3"/>
      <c r="L76" s="3"/>
      <c r="M76" s="331"/>
    </row>
    <row r="77" spans="2:13" x14ac:dyDescent="0.3">
      <c r="B77" s="335"/>
      <c r="C77" s="2"/>
      <c r="D77" s="336"/>
      <c r="E77" s="2"/>
      <c r="F77" s="2"/>
      <c r="G77" s="333"/>
      <c r="H77" s="3"/>
      <c r="I77" s="4"/>
      <c r="J77" s="3"/>
      <c r="K77" s="3"/>
      <c r="L77" s="3"/>
      <c r="M77" s="331"/>
    </row>
    <row r="78" spans="2:13" x14ac:dyDescent="0.3">
      <c r="B78" s="320">
        <v>1</v>
      </c>
      <c r="C78" s="337" t="s">
        <v>69</v>
      </c>
      <c r="D78" s="338" t="s">
        <v>70</v>
      </c>
      <c r="E78" s="339">
        <v>2</v>
      </c>
      <c r="F78" s="340">
        <v>90</v>
      </c>
      <c r="G78" s="340">
        <f>E78*F78</f>
        <v>180</v>
      </c>
      <c r="H78" s="3"/>
      <c r="I78" s="4"/>
      <c r="J78" s="3"/>
      <c r="K78" s="3"/>
      <c r="L78" s="3"/>
      <c r="M78" s="331"/>
    </row>
    <row r="79" spans="2:13" x14ac:dyDescent="0.3">
      <c r="B79" s="320">
        <v>2</v>
      </c>
      <c r="C79" s="341" t="s">
        <v>71</v>
      </c>
      <c r="D79" s="338" t="s">
        <v>72</v>
      </c>
      <c r="E79" s="320">
        <v>2</v>
      </c>
      <c r="F79" s="320">
        <v>15</v>
      </c>
      <c r="G79" s="340">
        <f t="shared" ref="G79:G83" si="31">E79*F79</f>
        <v>30</v>
      </c>
      <c r="H79" s="330"/>
      <c r="I79" s="275"/>
      <c r="J79" s="331"/>
      <c r="K79" s="331"/>
      <c r="L79" s="331"/>
      <c r="M79" s="331"/>
    </row>
    <row r="80" spans="2:13" x14ac:dyDescent="0.3">
      <c r="B80" s="320">
        <v>5</v>
      </c>
      <c r="C80" s="342" t="s">
        <v>73</v>
      </c>
      <c r="D80" s="338" t="s">
        <v>59</v>
      </c>
      <c r="E80" s="320">
        <v>2</v>
      </c>
      <c r="F80" s="320">
        <v>90</v>
      </c>
      <c r="G80" s="340">
        <f t="shared" si="31"/>
        <v>180</v>
      </c>
      <c r="H80" s="343"/>
      <c r="I80" s="329"/>
    </row>
    <row r="81" spans="2:11" x14ac:dyDescent="0.3">
      <c r="B81" s="320">
        <v>6</v>
      </c>
      <c r="C81" s="342" t="s">
        <v>293</v>
      </c>
      <c r="D81" s="338" t="s">
        <v>75</v>
      </c>
      <c r="E81" s="320">
        <v>0.3</v>
      </c>
      <c r="F81" s="320">
        <v>500</v>
      </c>
      <c r="G81" s="340">
        <f t="shared" si="31"/>
        <v>150</v>
      </c>
      <c r="H81" s="343"/>
      <c r="I81" s="329"/>
    </row>
    <row r="82" spans="2:11" x14ac:dyDescent="0.3">
      <c r="B82" s="320">
        <v>9</v>
      </c>
      <c r="C82" s="342" t="s">
        <v>76</v>
      </c>
      <c r="D82" s="338" t="s">
        <v>59</v>
      </c>
      <c r="E82" s="320">
        <v>1</v>
      </c>
      <c r="F82" s="320">
        <v>150</v>
      </c>
      <c r="G82" s="340">
        <f t="shared" si="31"/>
        <v>150</v>
      </c>
      <c r="H82" s="343"/>
      <c r="I82" s="329"/>
    </row>
    <row r="83" spans="2:11" x14ac:dyDescent="0.3">
      <c r="B83" s="320">
        <v>10</v>
      </c>
      <c r="C83" s="342" t="s">
        <v>77</v>
      </c>
      <c r="D83" s="338" t="s">
        <v>59</v>
      </c>
      <c r="E83" s="320">
        <v>1</v>
      </c>
      <c r="F83" s="320">
        <v>100</v>
      </c>
      <c r="G83" s="340">
        <f t="shared" si="31"/>
        <v>100</v>
      </c>
      <c r="H83" s="343"/>
      <c r="I83" s="329"/>
    </row>
    <row r="84" spans="2:11" x14ac:dyDescent="0.3">
      <c r="B84" s="344"/>
      <c r="C84" s="324" t="s">
        <v>78</v>
      </c>
      <c r="D84" s="345"/>
      <c r="E84" s="344"/>
      <c r="F84" s="305"/>
      <c r="G84" s="346">
        <f>SUM(G78:G83)</f>
        <v>790</v>
      </c>
      <c r="H84" s="343"/>
      <c r="I84" s="329"/>
    </row>
    <row r="85" spans="2:11" x14ac:dyDescent="0.3">
      <c r="B85" s="324"/>
      <c r="C85" s="324"/>
      <c r="D85" s="324"/>
      <c r="E85" s="324"/>
      <c r="F85" s="324"/>
      <c r="G85" s="326"/>
      <c r="H85" s="343"/>
      <c r="I85" s="329"/>
    </row>
    <row r="86" spans="2:11" x14ac:dyDescent="0.3">
      <c r="B86" s="275"/>
      <c r="C86" s="275"/>
      <c r="D86" s="275"/>
      <c r="E86" s="275"/>
      <c r="F86" s="275"/>
      <c r="G86" s="347"/>
      <c r="H86" s="343"/>
      <c r="I86" s="329"/>
    </row>
    <row r="87" spans="2:11" ht="11.25" customHeight="1" x14ac:dyDescent="0.3">
      <c r="B87" s="329"/>
      <c r="C87" s="329"/>
      <c r="D87" s="329"/>
      <c r="E87" s="329"/>
      <c r="F87" s="329"/>
      <c r="G87" s="329"/>
      <c r="H87" s="343"/>
      <c r="I87" s="329"/>
    </row>
    <row r="88" spans="2:11" hidden="1" x14ac:dyDescent="0.3">
      <c r="B88" s="541"/>
      <c r="C88" s="541"/>
      <c r="D88" s="541"/>
      <c r="E88" s="541"/>
      <c r="F88" s="541"/>
      <c r="G88" s="541"/>
      <c r="H88" s="348"/>
    </row>
    <row r="89" spans="2:11" hidden="1" x14ac:dyDescent="0.3">
      <c r="B89" s="349"/>
      <c r="C89" s="265"/>
      <c r="D89" s="265"/>
      <c r="E89" s="265"/>
      <c r="F89" s="265"/>
      <c r="G89" s="265"/>
      <c r="H89" s="265"/>
    </row>
    <row r="90" spans="2:11" x14ac:dyDescent="0.3">
      <c r="B90" s="349"/>
      <c r="C90" s="542" t="s">
        <v>79</v>
      </c>
      <c r="D90" s="542"/>
      <c r="E90" s="542"/>
      <c r="F90" s="542"/>
      <c r="G90" s="265"/>
      <c r="H90" s="265"/>
    </row>
    <row r="91" spans="2:11" ht="19.5" thickBot="1" x14ac:dyDescent="0.35">
      <c r="B91" s="349"/>
      <c r="G91" s="265"/>
      <c r="H91" s="265"/>
      <c r="I91" s="265"/>
      <c r="J91" s="265"/>
    </row>
    <row r="92" spans="2:11" ht="19.5" thickBot="1" x14ac:dyDescent="0.35">
      <c r="C92" s="538" t="s">
        <v>80</v>
      </c>
      <c r="D92" s="538"/>
      <c r="E92" s="538"/>
      <c r="F92" s="538"/>
      <c r="I92" s="265"/>
      <c r="J92" s="265"/>
      <c r="K92" s="350" t="s">
        <v>81</v>
      </c>
    </row>
    <row r="93" spans="2:11" x14ac:dyDescent="0.3">
      <c r="B93" s="543"/>
      <c r="C93" s="543"/>
      <c r="D93" s="543"/>
      <c r="E93" s="543"/>
      <c r="F93" s="543"/>
      <c r="G93" s="543"/>
      <c r="H93" s="543"/>
      <c r="I93" s="265"/>
      <c r="J93" s="265"/>
    </row>
    <row r="94" spans="2:11" ht="144" x14ac:dyDescent="0.3">
      <c r="B94" s="269" t="s">
        <v>3</v>
      </c>
      <c r="C94" s="299" t="s">
        <v>27</v>
      </c>
      <c r="D94" s="299" t="s">
        <v>82</v>
      </c>
      <c r="E94" s="299" t="s">
        <v>83</v>
      </c>
      <c r="F94" s="299" t="s">
        <v>84</v>
      </c>
      <c r="G94" s="299" t="s">
        <v>32</v>
      </c>
      <c r="H94" s="299" t="s">
        <v>33</v>
      </c>
      <c r="I94" s="299" t="s">
        <v>34</v>
      </c>
      <c r="J94" s="299" t="s">
        <v>35</v>
      </c>
      <c r="K94" s="351" t="s">
        <v>36</v>
      </c>
    </row>
    <row r="95" spans="2:11" x14ac:dyDescent="0.3">
      <c r="B95" s="271">
        <v>1</v>
      </c>
      <c r="C95" s="271">
        <v>2</v>
      </c>
      <c r="D95" s="271">
        <v>3</v>
      </c>
      <c r="E95" s="271">
        <v>4</v>
      </c>
      <c r="F95" s="271">
        <v>5</v>
      </c>
      <c r="G95" s="271">
        <v>6</v>
      </c>
      <c r="H95" s="271">
        <v>7</v>
      </c>
      <c r="I95" s="271">
        <v>8</v>
      </c>
      <c r="J95" s="271">
        <v>9</v>
      </c>
      <c r="K95" s="352">
        <v>10</v>
      </c>
    </row>
    <row r="96" spans="2:11" x14ac:dyDescent="0.3">
      <c r="B96" s="271">
        <v>1</v>
      </c>
      <c r="C96" s="353" t="s">
        <v>85</v>
      </c>
      <c r="D96" s="271">
        <v>1</v>
      </c>
      <c r="E96" s="271"/>
      <c r="F96" s="271">
        <v>433</v>
      </c>
      <c r="G96" s="271"/>
      <c r="H96" s="271">
        <f>F96*0.15</f>
        <v>64.95</v>
      </c>
      <c r="I96" s="354">
        <f t="shared" ref="I96:I97" si="32">H96+G96+F96</f>
        <v>497.95</v>
      </c>
      <c r="J96" s="354">
        <f>I96*0.302</f>
        <v>150.3809</v>
      </c>
      <c r="K96" s="355">
        <f>(I96+J96)*6</f>
        <v>3889.9853999999996</v>
      </c>
    </row>
    <row r="97" spans="2:11" x14ac:dyDescent="0.3">
      <c r="B97" s="271">
        <v>2</v>
      </c>
      <c r="C97" s="356" t="s">
        <v>86</v>
      </c>
      <c r="D97" s="271">
        <v>0.02</v>
      </c>
      <c r="E97" s="271"/>
      <c r="F97" s="271">
        <v>345.92</v>
      </c>
      <c r="G97" s="271"/>
      <c r="H97" s="354">
        <f>(G97+F97)*0.15</f>
        <v>51.887999999999998</v>
      </c>
      <c r="I97" s="354">
        <f t="shared" si="32"/>
        <v>397.80799999999999</v>
      </c>
      <c r="J97" s="354">
        <f t="shared" ref="J97:J101" si="33">I97*0.302</f>
        <v>120.13801599999999</v>
      </c>
      <c r="K97" s="355">
        <f>(I97+J97)*6</f>
        <v>3107.6760960000001</v>
      </c>
    </row>
    <row r="98" spans="2:11" x14ac:dyDescent="0.3">
      <c r="B98" s="271">
        <v>3</v>
      </c>
      <c r="C98" s="356" t="s">
        <v>87</v>
      </c>
      <c r="D98" s="271">
        <v>0.02</v>
      </c>
      <c r="E98" s="271">
        <v>5500</v>
      </c>
      <c r="F98" s="271">
        <f>E98*D98</f>
        <v>110</v>
      </c>
      <c r="G98" s="271">
        <f>F98*0.1</f>
        <v>11</v>
      </c>
      <c r="H98" s="354">
        <f>(G98+F98)*0.15</f>
        <v>18.149999999999999</v>
      </c>
      <c r="I98" s="354">
        <f>H98+G98+F98</f>
        <v>139.15</v>
      </c>
      <c r="J98" s="354">
        <f t="shared" si="33"/>
        <v>42.023299999999999</v>
      </c>
      <c r="K98" s="355">
        <f>(I98+J98)*6</f>
        <v>1087.0398</v>
      </c>
    </row>
    <row r="99" spans="2:11" x14ac:dyDescent="0.3">
      <c r="B99" s="271">
        <v>4</v>
      </c>
      <c r="C99" s="356" t="s">
        <v>88</v>
      </c>
      <c r="D99" s="271">
        <v>0.02</v>
      </c>
      <c r="E99" s="271">
        <v>5500</v>
      </c>
      <c r="F99" s="271">
        <f>E99*D99</f>
        <v>110</v>
      </c>
      <c r="G99" s="271">
        <f>F99*0.6</f>
        <v>66</v>
      </c>
      <c r="H99" s="354">
        <f>(G99+F99)*0.15</f>
        <v>26.4</v>
      </c>
      <c r="I99" s="354">
        <f t="shared" ref="I99:I101" si="34">H99+G99+F99</f>
        <v>202.4</v>
      </c>
      <c r="J99" s="354">
        <f t="shared" si="33"/>
        <v>61.1248</v>
      </c>
      <c r="K99" s="355">
        <f t="shared" ref="K99:K101" si="35">(I99+J99)*6</f>
        <v>1581.1488000000002</v>
      </c>
    </row>
    <row r="100" spans="2:11" x14ac:dyDescent="0.3">
      <c r="B100" s="271">
        <v>5</v>
      </c>
      <c r="C100" s="356" t="s">
        <v>89</v>
      </c>
      <c r="D100" s="271">
        <v>0.01</v>
      </c>
      <c r="E100" s="271">
        <v>5500</v>
      </c>
      <c r="F100" s="271">
        <f>E100*D100</f>
        <v>55</v>
      </c>
      <c r="G100" s="271"/>
      <c r="H100" s="354">
        <f>(G100+F100)*0.15</f>
        <v>8.25</v>
      </c>
      <c r="I100" s="354">
        <f t="shared" si="34"/>
        <v>63.25</v>
      </c>
      <c r="J100" s="354">
        <f t="shared" si="33"/>
        <v>19.101499999999998</v>
      </c>
      <c r="K100" s="355">
        <f t="shared" si="35"/>
        <v>494.10900000000004</v>
      </c>
    </row>
    <row r="101" spans="2:11" x14ac:dyDescent="0.3">
      <c r="B101" s="271">
        <v>6</v>
      </c>
      <c r="C101" s="356" t="s">
        <v>90</v>
      </c>
      <c r="D101" s="271">
        <v>0.02</v>
      </c>
      <c r="E101" s="271">
        <v>7520</v>
      </c>
      <c r="F101" s="271">
        <f>E101*D101</f>
        <v>150.4</v>
      </c>
      <c r="G101" s="271">
        <f>F101*0.3</f>
        <v>45.12</v>
      </c>
      <c r="H101" s="354">
        <f t="shared" ref="H101" si="36">(G101+F101)*0.15</f>
        <v>29.327999999999999</v>
      </c>
      <c r="I101" s="354">
        <f t="shared" si="34"/>
        <v>224.84800000000001</v>
      </c>
      <c r="J101" s="354">
        <f t="shared" si="33"/>
        <v>67.904095999999996</v>
      </c>
      <c r="K101" s="355">
        <f t="shared" si="35"/>
        <v>1756.5125760000001</v>
      </c>
    </row>
    <row r="102" spans="2:11" x14ac:dyDescent="0.3">
      <c r="B102" s="274"/>
      <c r="C102" s="319" t="s">
        <v>38</v>
      </c>
      <c r="D102" s="274"/>
      <c r="E102" s="274"/>
      <c r="F102" s="357"/>
      <c r="G102" s="274"/>
      <c r="H102" s="357"/>
      <c r="I102" s="358">
        <f>I96+I97+I98+I99+I100+I101</f>
        <v>1525.4060000000002</v>
      </c>
      <c r="J102" s="358">
        <f t="shared" ref="J102:K102" si="37">J96+J97+J98+J99+J100+J101</f>
        <v>460.67261199999996</v>
      </c>
      <c r="K102" s="358">
        <f t="shared" si="37"/>
        <v>11916.471672</v>
      </c>
    </row>
    <row r="103" spans="2:11" x14ac:dyDescent="0.3">
      <c r="B103" s="268"/>
      <c r="C103" s="359"/>
      <c r="D103" s="268"/>
      <c r="E103" s="268"/>
      <c r="F103" s="360"/>
      <c r="G103" s="268"/>
      <c r="H103" s="360"/>
      <c r="I103" s="361"/>
      <c r="J103" s="361"/>
      <c r="K103" s="361"/>
    </row>
    <row r="104" spans="2:11" x14ac:dyDescent="0.3">
      <c r="B104" s="268"/>
      <c r="C104" s="544" t="s">
        <v>294</v>
      </c>
      <c r="D104" s="544"/>
      <c r="E104" s="544"/>
      <c r="F104" s="544"/>
      <c r="G104" s="544"/>
      <c r="H104" s="360"/>
      <c r="I104" s="361"/>
      <c r="J104" s="361"/>
      <c r="K104" s="361"/>
    </row>
    <row r="105" spans="2:11" x14ac:dyDescent="0.3">
      <c r="B105" s="268"/>
      <c r="C105" s="266" t="s">
        <v>295</v>
      </c>
      <c r="G105" s="265"/>
      <c r="H105" s="360"/>
      <c r="I105" s="361"/>
      <c r="J105" s="361"/>
      <c r="K105" s="361"/>
    </row>
    <row r="106" spans="2:11" x14ac:dyDescent="0.3">
      <c r="B106" s="268"/>
      <c r="C106" s="266" t="s">
        <v>296</v>
      </c>
      <c r="G106" s="362"/>
      <c r="H106" s="363"/>
      <c r="I106" s="361"/>
      <c r="J106" s="361"/>
      <c r="K106" s="361"/>
    </row>
    <row r="107" spans="2:11" x14ac:dyDescent="0.3">
      <c r="B107" s="268"/>
      <c r="C107" s="543" t="s">
        <v>94</v>
      </c>
      <c r="D107" s="543"/>
      <c r="E107" s="543"/>
      <c r="F107" s="543"/>
      <c r="G107" s="543"/>
      <c r="H107" s="543"/>
      <c r="I107" s="543"/>
      <c r="J107" s="361"/>
      <c r="K107" s="361"/>
    </row>
    <row r="108" spans="2:11" x14ac:dyDescent="0.3">
      <c r="B108" s="268"/>
      <c r="C108" s="266" t="s">
        <v>95</v>
      </c>
      <c r="D108" s="268"/>
      <c r="E108" s="268"/>
      <c r="F108" s="360"/>
      <c r="G108" s="268"/>
      <c r="H108" s="360"/>
      <c r="I108" s="361"/>
      <c r="J108" s="361"/>
      <c r="K108" s="361"/>
    </row>
    <row r="109" spans="2:11" x14ac:dyDescent="0.3">
      <c r="B109" s="268"/>
      <c r="C109" s="268" t="s">
        <v>297</v>
      </c>
      <c r="D109" s="268"/>
      <c r="E109" s="268"/>
      <c r="F109" s="360"/>
      <c r="G109" s="268"/>
      <c r="H109" s="360"/>
      <c r="I109" s="361"/>
      <c r="J109" s="361"/>
      <c r="K109" s="361"/>
    </row>
    <row r="110" spans="2:11" x14ac:dyDescent="0.3">
      <c r="B110" s="268"/>
      <c r="C110" s="268" t="s">
        <v>298</v>
      </c>
      <c r="D110" s="268"/>
      <c r="E110" s="268"/>
      <c r="F110" s="360"/>
      <c r="G110" s="268"/>
      <c r="H110" s="360"/>
      <c r="I110" s="361"/>
      <c r="J110" s="361"/>
      <c r="K110" s="361"/>
    </row>
    <row r="111" spans="2:11" x14ac:dyDescent="0.3">
      <c r="B111" s="268"/>
      <c r="C111" s="268" t="s">
        <v>299</v>
      </c>
      <c r="D111" s="268"/>
      <c r="E111" s="268"/>
      <c r="F111" s="360"/>
      <c r="G111" s="268"/>
      <c r="H111" s="360"/>
      <c r="I111" s="361"/>
      <c r="J111" s="361"/>
      <c r="K111" s="361"/>
    </row>
    <row r="112" spans="2:11" x14ac:dyDescent="0.3">
      <c r="B112" s="268"/>
      <c r="C112" s="268"/>
      <c r="D112" s="268"/>
      <c r="E112" s="268"/>
      <c r="F112" s="360"/>
      <c r="G112" s="268"/>
      <c r="H112" s="360"/>
      <c r="I112" s="361"/>
      <c r="J112" s="361"/>
      <c r="K112" s="361"/>
    </row>
    <row r="113" spans="2:10" x14ac:dyDescent="0.3">
      <c r="B113" s="349"/>
      <c r="C113" s="364" t="s">
        <v>104</v>
      </c>
      <c r="D113" s="365"/>
      <c r="E113" s="365"/>
      <c r="F113" s="265"/>
      <c r="G113" s="265"/>
      <c r="H113" s="265"/>
      <c r="I113" s="265"/>
      <c r="J113" s="265"/>
    </row>
    <row r="114" spans="2:10" x14ac:dyDescent="0.3">
      <c r="B114" s="349"/>
      <c r="C114" s="265"/>
      <c r="D114" s="265"/>
      <c r="E114" s="265"/>
      <c r="F114" s="265"/>
      <c r="G114" s="265"/>
      <c r="H114" s="265"/>
      <c r="I114" s="265"/>
      <c r="J114" s="265"/>
    </row>
    <row r="115" spans="2:10" x14ac:dyDescent="0.3">
      <c r="B115" s="265"/>
      <c r="C115" s="538" t="s">
        <v>99</v>
      </c>
      <c r="D115" s="538"/>
      <c r="E115" s="538"/>
      <c r="F115" s="539" t="s">
        <v>300</v>
      </c>
      <c r="G115" s="539"/>
      <c r="H115" s="265"/>
      <c r="I115" s="265"/>
      <c r="J115" s="265"/>
    </row>
    <row r="116" spans="2:10" x14ac:dyDescent="0.3">
      <c r="B116" s="366"/>
      <c r="C116" s="359"/>
      <c r="D116" s="366"/>
      <c r="E116" s="366"/>
      <c r="F116" s="366"/>
      <c r="G116" s="366"/>
      <c r="H116" s="366"/>
      <c r="I116" s="366"/>
      <c r="J116" s="366"/>
    </row>
    <row r="117" spans="2:10" ht="19.5" thickBot="1" x14ac:dyDescent="0.35">
      <c r="B117" s="265"/>
      <c r="C117" s="538" t="s">
        <v>105</v>
      </c>
      <c r="D117" s="538"/>
      <c r="E117" s="538"/>
      <c r="F117" s="265"/>
      <c r="G117" s="265"/>
      <c r="H117" s="265"/>
      <c r="I117" s="265"/>
      <c r="J117" s="265"/>
    </row>
    <row r="118" spans="2:10" ht="19.5" thickBot="1" x14ac:dyDescent="0.35">
      <c r="B118" s="367"/>
      <c r="C118" s="368"/>
      <c r="D118" s="367"/>
      <c r="E118" s="367"/>
      <c r="F118" s="367"/>
      <c r="G118" s="367"/>
      <c r="I118" s="369" t="s">
        <v>106</v>
      </c>
      <c r="J118" s="265"/>
    </row>
    <row r="119" spans="2:10" x14ac:dyDescent="0.3">
      <c r="B119" s="348"/>
      <c r="C119" s="348"/>
      <c r="D119" s="348"/>
      <c r="E119" s="348"/>
      <c r="F119" s="348"/>
      <c r="G119" s="348"/>
      <c r="H119" s="348"/>
      <c r="I119" s="348"/>
    </row>
    <row r="120" spans="2:10" ht="162" x14ac:dyDescent="0.3">
      <c r="B120" s="370" t="s">
        <v>3</v>
      </c>
      <c r="C120" s="371" t="s">
        <v>107</v>
      </c>
      <c r="D120" s="301" t="s">
        <v>108</v>
      </c>
      <c r="E120" s="301" t="s">
        <v>109</v>
      </c>
      <c r="F120" s="301" t="s">
        <v>110</v>
      </c>
      <c r="G120" s="301" t="s">
        <v>111</v>
      </c>
      <c r="H120" s="301" t="s">
        <v>112</v>
      </c>
      <c r="I120" s="301" t="s">
        <v>113</v>
      </c>
    </row>
    <row r="121" spans="2:10" x14ac:dyDescent="0.3">
      <c r="B121" s="302">
        <v>1</v>
      </c>
      <c r="C121" s="302">
        <v>2</v>
      </c>
      <c r="D121" s="302">
        <v>3</v>
      </c>
      <c r="E121" s="302">
        <v>4</v>
      </c>
      <c r="F121" s="302">
        <v>5</v>
      </c>
      <c r="G121" s="302">
        <v>6</v>
      </c>
      <c r="H121" s="302">
        <v>7</v>
      </c>
      <c r="I121" s="302">
        <v>8</v>
      </c>
    </row>
    <row r="122" spans="2:10" x14ac:dyDescent="0.3">
      <c r="B122" s="302">
        <v>1</v>
      </c>
      <c r="C122" s="372" t="s">
        <v>114</v>
      </c>
      <c r="D122" s="373">
        <v>15735242</v>
      </c>
      <c r="E122" s="302">
        <v>1</v>
      </c>
      <c r="F122" s="302">
        <v>1672</v>
      </c>
      <c r="G122" s="302">
        <v>24</v>
      </c>
      <c r="H122" s="374">
        <v>1.2999999999999999E-2</v>
      </c>
      <c r="I122" s="317">
        <f>(D122*E122)/(F122*G122)*H122</f>
        <v>5.0976411981658689</v>
      </c>
    </row>
    <row r="123" spans="2:10" x14ac:dyDescent="0.3">
      <c r="B123" s="372"/>
      <c r="C123" s="372"/>
      <c r="D123" s="375"/>
      <c r="E123" s="302"/>
      <c r="F123" s="302"/>
      <c r="G123" s="302"/>
      <c r="H123" s="376"/>
      <c r="I123" s="377"/>
    </row>
    <row r="124" spans="2:10" x14ac:dyDescent="0.3">
      <c r="B124" s="372"/>
      <c r="C124" s="325" t="s">
        <v>38</v>
      </c>
      <c r="D124" s="305"/>
      <c r="E124" s="305"/>
      <c r="F124" s="378"/>
      <c r="G124" s="305"/>
      <c r="H124" s="305" t="s">
        <v>115</v>
      </c>
      <c r="I124" s="379">
        <f>I122</f>
        <v>5.0976411981658689</v>
      </c>
    </row>
    <row r="125" spans="2:10" x14ac:dyDescent="0.3">
      <c r="B125" s="349"/>
      <c r="C125" s="349"/>
      <c r="D125" s="380"/>
      <c r="E125" s="380"/>
      <c r="F125" s="380"/>
      <c r="G125" s="380"/>
      <c r="H125" s="380"/>
      <c r="I125" s="367"/>
    </row>
    <row r="126" spans="2:10" x14ac:dyDescent="0.3">
      <c r="C126" s="266" t="s">
        <v>116</v>
      </c>
      <c r="F126" s="380" t="s">
        <v>117</v>
      </c>
    </row>
    <row r="127" spans="2:10" x14ac:dyDescent="0.3">
      <c r="C127" s="278" t="s">
        <v>118</v>
      </c>
      <c r="D127" s="381"/>
      <c r="E127" s="279"/>
      <c r="F127" s="382"/>
      <c r="G127" s="381"/>
      <c r="H127" s="383"/>
      <c r="I127" s="281"/>
      <c r="J127" s="283"/>
    </row>
    <row r="128" spans="2:10" x14ac:dyDescent="0.3">
      <c r="C128" s="278" t="s">
        <v>301</v>
      </c>
      <c r="D128" s="381"/>
      <c r="E128" s="279"/>
      <c r="F128" s="382"/>
      <c r="G128" s="381"/>
      <c r="H128" s="383"/>
      <c r="I128" s="281"/>
      <c r="J128" s="283"/>
    </row>
    <row r="129" spans="2:11" x14ac:dyDescent="0.3">
      <c r="C129" s="278"/>
      <c r="D129" s="381"/>
      <c r="E129" s="279"/>
      <c r="F129" s="382"/>
      <c r="G129" s="381"/>
      <c r="H129" s="383"/>
      <c r="I129" s="281"/>
      <c r="J129" s="283"/>
    </row>
    <row r="130" spans="2:11" ht="19.5" thickBot="1" x14ac:dyDescent="0.35">
      <c r="C130" s="382"/>
      <c r="D130" s="381"/>
      <c r="E130" s="381"/>
      <c r="F130" s="382"/>
      <c r="G130" s="381"/>
      <c r="H130" s="383"/>
      <c r="I130" s="282"/>
      <c r="J130" s="282"/>
      <c r="K130" s="283"/>
    </row>
    <row r="131" spans="2:11" ht="19.5" thickBot="1" x14ac:dyDescent="0.35">
      <c r="C131" s="384" t="s">
        <v>120</v>
      </c>
      <c r="I131" s="385" t="s">
        <v>121</v>
      </c>
    </row>
    <row r="132" spans="2:11" x14ac:dyDescent="0.3">
      <c r="B132" s="386"/>
      <c r="C132" s="386"/>
      <c r="I132" s="387"/>
    </row>
    <row r="133" spans="2:11" x14ac:dyDescent="0.3">
      <c r="B133" s="386"/>
      <c r="C133" s="386" t="s">
        <v>122</v>
      </c>
      <c r="I133" s="387"/>
    </row>
    <row r="134" spans="2:11" x14ac:dyDescent="0.3">
      <c r="B134" s="386"/>
      <c r="C134" s="388" t="s">
        <v>123</v>
      </c>
      <c r="I134" s="387"/>
    </row>
    <row r="135" spans="2:11" x14ac:dyDescent="0.3">
      <c r="B135" s="386"/>
      <c r="C135" s="388" t="s">
        <v>19</v>
      </c>
      <c r="I135" s="387"/>
    </row>
    <row r="136" spans="2:11" x14ac:dyDescent="0.3">
      <c r="B136" s="386"/>
      <c r="C136" s="367" t="s">
        <v>124</v>
      </c>
      <c r="D136" s="389"/>
      <c r="E136" s="389"/>
      <c r="F136" s="367"/>
      <c r="I136" s="387"/>
    </row>
    <row r="137" spans="2:11" x14ac:dyDescent="0.3">
      <c r="B137" s="386"/>
      <c r="C137" s="539" t="s">
        <v>125</v>
      </c>
      <c r="D137" s="539"/>
      <c r="E137" s="539"/>
      <c r="F137" s="539"/>
      <c r="G137" s="539"/>
      <c r="I137" s="387"/>
    </row>
    <row r="138" spans="2:11" x14ac:dyDescent="0.3">
      <c r="C138" s="540" t="s">
        <v>126</v>
      </c>
      <c r="D138" s="540"/>
      <c r="E138" s="540"/>
      <c r="F138" s="540"/>
      <c r="G138" s="540"/>
      <c r="H138" s="540"/>
      <c r="I138" s="390"/>
    </row>
    <row r="139" spans="2:11" x14ac:dyDescent="0.3">
      <c r="B139" s="386"/>
      <c r="C139" s="386"/>
      <c r="I139" s="387"/>
    </row>
    <row r="140" spans="2:11" x14ac:dyDescent="0.3">
      <c r="C140" s="391" t="s">
        <v>127</v>
      </c>
      <c r="D140" s="391"/>
      <c r="E140" s="367"/>
      <c r="F140" s="367"/>
      <c r="G140" s="367"/>
      <c r="I140" s="392"/>
    </row>
    <row r="141" spans="2:11" ht="9.75" customHeight="1" x14ac:dyDescent="0.3">
      <c r="C141" s="391"/>
      <c r="D141" s="391"/>
      <c r="E141" s="367"/>
      <c r="F141" s="367"/>
      <c r="G141" s="367"/>
      <c r="I141" s="392"/>
    </row>
    <row r="142" spans="2:11" x14ac:dyDescent="0.3">
      <c r="C142" s="329" t="s">
        <v>128</v>
      </c>
      <c r="D142" s="329"/>
      <c r="E142" s="329"/>
      <c r="F142" s="329"/>
      <c r="G142" s="329"/>
      <c r="I142" s="387"/>
    </row>
    <row r="143" spans="2:11" x14ac:dyDescent="0.3">
      <c r="C143" s="343" t="s">
        <v>129</v>
      </c>
      <c r="D143" s="343"/>
      <c r="E143" s="343"/>
      <c r="F143" s="343"/>
      <c r="G143" s="343"/>
      <c r="I143" s="281"/>
    </row>
    <row r="144" spans="2:11" x14ac:dyDescent="0.3">
      <c r="C144" s="389" t="s">
        <v>130</v>
      </c>
      <c r="D144" s="389"/>
      <c r="E144" s="389"/>
      <c r="F144" s="389"/>
      <c r="G144" s="367"/>
      <c r="I144" s="287"/>
    </row>
    <row r="145" spans="2:10" x14ac:dyDescent="0.3">
      <c r="C145" s="266" t="s">
        <v>131</v>
      </c>
      <c r="D145" s="343"/>
      <c r="E145" s="343"/>
      <c r="F145" s="343"/>
      <c r="G145" s="367"/>
      <c r="H145" s="343"/>
      <c r="I145" s="387"/>
    </row>
    <row r="146" spans="2:10" x14ac:dyDescent="0.3">
      <c r="B146" s="367"/>
      <c r="C146" s="393" t="s">
        <v>132</v>
      </c>
      <c r="D146" s="367"/>
      <c r="E146" s="367"/>
      <c r="F146" s="367"/>
      <c r="G146" s="367"/>
      <c r="I146" s="394">
        <v>128.49</v>
      </c>
    </row>
    <row r="147" spans="2:10" x14ac:dyDescent="0.3">
      <c r="C147" s="266" t="s">
        <v>302</v>
      </c>
      <c r="D147" s="389"/>
      <c r="E147" s="389"/>
      <c r="F147" s="367"/>
      <c r="G147" s="367"/>
      <c r="I147" s="387"/>
    </row>
    <row r="149" spans="2:10" x14ac:dyDescent="0.3">
      <c r="C149" s="395" t="s">
        <v>134</v>
      </c>
      <c r="D149" s="395"/>
      <c r="E149" s="349"/>
      <c r="F149" s="367"/>
      <c r="G149" s="367"/>
      <c r="H149" s="265"/>
      <c r="I149" s="265"/>
    </row>
    <row r="150" spans="2:10" x14ac:dyDescent="0.3">
      <c r="C150" s="395"/>
      <c r="D150" s="395"/>
      <c r="E150" s="349"/>
      <c r="F150" s="367"/>
      <c r="G150" s="367"/>
      <c r="H150" s="265"/>
      <c r="I150" s="265"/>
    </row>
    <row r="151" spans="2:10" x14ac:dyDescent="0.3">
      <c r="C151" s="343" t="s">
        <v>135</v>
      </c>
      <c r="D151" s="343"/>
      <c r="E151" s="343"/>
      <c r="F151" s="343"/>
      <c r="G151" s="343"/>
      <c r="H151" s="343"/>
      <c r="I151" s="276"/>
      <c r="J151" s="279"/>
    </row>
    <row r="152" spans="2:10" x14ac:dyDescent="0.3">
      <c r="C152" s="289" t="s">
        <v>136</v>
      </c>
      <c r="E152" s="367"/>
      <c r="F152" s="367"/>
      <c r="G152" s="367"/>
      <c r="H152" s="265"/>
      <c r="I152" s="276"/>
      <c r="J152" s="279"/>
    </row>
    <row r="153" spans="2:10" x14ac:dyDescent="0.3">
      <c r="C153" s="343" t="s">
        <v>137</v>
      </c>
      <c r="D153" s="343"/>
      <c r="E153" s="343"/>
      <c r="F153" s="343"/>
      <c r="G153" s="396"/>
      <c r="H153" s="265"/>
      <c r="I153" s="276"/>
      <c r="J153" s="279"/>
    </row>
    <row r="154" spans="2:10" x14ac:dyDescent="0.3">
      <c r="C154" s="367" t="s">
        <v>138</v>
      </c>
      <c r="D154" s="367"/>
      <c r="E154" s="367"/>
      <c r="F154" s="367"/>
      <c r="G154" s="367"/>
      <c r="H154" s="265"/>
      <c r="I154" s="276"/>
      <c r="J154" s="279"/>
    </row>
    <row r="155" spans="2:10" x14ac:dyDescent="0.3">
      <c r="C155" s="541" t="s">
        <v>139</v>
      </c>
      <c r="D155" s="541"/>
      <c r="E155" s="541"/>
      <c r="F155" s="541"/>
      <c r="G155" s="367"/>
      <c r="H155" s="265"/>
      <c r="I155" s="265"/>
    </row>
    <row r="156" spans="2:10" x14ac:dyDescent="0.3">
      <c r="C156" s="539" t="s">
        <v>125</v>
      </c>
      <c r="D156" s="539"/>
      <c r="E156" s="539"/>
      <c r="F156" s="539"/>
      <c r="G156" s="539"/>
      <c r="H156" s="265"/>
      <c r="I156" s="265"/>
    </row>
    <row r="157" spans="2:10" x14ac:dyDescent="0.3">
      <c r="C157" s="539" t="s">
        <v>140</v>
      </c>
      <c r="D157" s="539"/>
      <c r="E157" s="539"/>
      <c r="F157" s="539"/>
      <c r="G157" s="539"/>
      <c r="H157" s="265"/>
      <c r="I157" s="265"/>
    </row>
    <row r="158" spans="2:10" x14ac:dyDescent="0.3">
      <c r="B158" s="367"/>
      <c r="C158" s="266" t="s">
        <v>141</v>
      </c>
      <c r="E158" s="349"/>
      <c r="F158" s="367"/>
      <c r="G158" s="547"/>
      <c r="H158" s="547"/>
      <c r="I158" s="265"/>
    </row>
    <row r="159" spans="2:10" x14ac:dyDescent="0.3">
      <c r="C159" s="395" t="s">
        <v>142</v>
      </c>
      <c r="D159" s="395"/>
      <c r="E159" s="349"/>
      <c r="F159" s="367"/>
      <c r="G159" s="367"/>
      <c r="H159" s="265"/>
    </row>
    <row r="160" spans="2:10" x14ac:dyDescent="0.3">
      <c r="B160" s="367"/>
      <c r="C160" s="266" t="s">
        <v>303</v>
      </c>
      <c r="G160" s="343"/>
      <c r="I160" s="394">
        <v>156.86000000000001</v>
      </c>
      <c r="J160" s="343"/>
    </row>
    <row r="161" spans="2:11" x14ac:dyDescent="0.3">
      <c r="C161" s="367"/>
      <c r="D161" s="349"/>
      <c r="E161" s="349"/>
      <c r="F161" s="367"/>
      <c r="G161" s="367"/>
      <c r="H161" s="265"/>
    </row>
    <row r="162" spans="2:11" x14ac:dyDescent="0.3">
      <c r="C162" s="389" t="s">
        <v>144</v>
      </c>
      <c r="D162" s="389"/>
      <c r="E162" s="389"/>
      <c r="F162" s="367"/>
      <c r="G162" s="367"/>
      <c r="H162" s="265"/>
    </row>
    <row r="163" spans="2:11" x14ac:dyDescent="0.3">
      <c r="G163" s="367"/>
      <c r="H163" s="265"/>
    </row>
    <row r="164" spans="2:11" x14ac:dyDescent="0.3">
      <c r="B164" s="397"/>
      <c r="C164" s="343" t="s">
        <v>145</v>
      </c>
      <c r="D164" s="343"/>
      <c r="E164" s="343"/>
      <c r="F164" s="343"/>
      <c r="G164" s="343"/>
      <c r="H164" s="343"/>
    </row>
    <row r="165" spans="2:11" x14ac:dyDescent="0.3">
      <c r="C165" s="367" t="s">
        <v>146</v>
      </c>
      <c r="E165" s="367"/>
      <c r="F165" s="367"/>
      <c r="G165" s="367"/>
      <c r="H165" s="265"/>
      <c r="J165" s="279"/>
    </row>
    <row r="166" spans="2:11" x14ac:dyDescent="0.3">
      <c r="C166" s="266" t="s">
        <v>304</v>
      </c>
      <c r="H166" s="265"/>
    </row>
    <row r="167" spans="2:11" x14ac:dyDescent="0.3">
      <c r="B167" s="539"/>
      <c r="C167" s="539"/>
      <c r="D167" s="539"/>
      <c r="E167" s="539"/>
      <c r="F167" s="539"/>
      <c r="G167" s="367"/>
      <c r="H167" s="265"/>
      <c r="I167" s="398">
        <v>0.39</v>
      </c>
    </row>
    <row r="168" spans="2:11" x14ac:dyDescent="0.3">
      <c r="C168" s="389" t="s">
        <v>148</v>
      </c>
      <c r="D168" s="389"/>
      <c r="E168" s="389"/>
      <c r="F168" s="389"/>
      <c r="G168" s="367"/>
      <c r="H168" s="265"/>
    </row>
    <row r="169" spans="2:11" x14ac:dyDescent="0.3">
      <c r="C169" s="540" t="s">
        <v>149</v>
      </c>
      <c r="D169" s="540"/>
      <c r="E169" s="540"/>
      <c r="F169" s="540"/>
      <c r="G169" s="540"/>
      <c r="H169" s="540"/>
      <c r="I169" s="540"/>
      <c r="J169" s="279"/>
      <c r="K169" s="279"/>
    </row>
    <row r="170" spans="2:11" x14ac:dyDescent="0.3">
      <c r="C170" s="343" t="s">
        <v>150</v>
      </c>
      <c r="D170" s="343"/>
      <c r="E170" s="343"/>
      <c r="F170" s="343"/>
      <c r="G170" s="343"/>
      <c r="H170" s="343"/>
      <c r="I170" s="279"/>
      <c r="J170" s="279"/>
      <c r="K170" s="279"/>
    </row>
    <row r="171" spans="2:11" x14ac:dyDescent="0.3">
      <c r="C171" s="343" t="s">
        <v>151</v>
      </c>
      <c r="D171" s="343"/>
      <c r="E171" s="343"/>
      <c r="F171" s="343"/>
      <c r="G171" s="343"/>
      <c r="I171" s="399">
        <v>59.91</v>
      </c>
      <c r="J171" s="279"/>
      <c r="K171" s="279"/>
    </row>
    <row r="172" spans="2:11" x14ac:dyDescent="0.3">
      <c r="B172" s="397"/>
      <c r="C172" s="343"/>
      <c r="D172" s="367"/>
      <c r="E172" s="367"/>
      <c r="F172" s="367"/>
      <c r="G172" s="367"/>
      <c r="I172" s="265"/>
      <c r="J172" s="279"/>
      <c r="K172" s="279"/>
    </row>
    <row r="173" spans="2:11" x14ac:dyDescent="0.3">
      <c r="C173" s="343" t="s">
        <v>152</v>
      </c>
      <c r="D173" s="400"/>
      <c r="E173" s="400"/>
      <c r="F173" s="400"/>
      <c r="G173" s="400"/>
      <c r="I173" s="265"/>
      <c r="J173" s="279"/>
      <c r="K173" s="279"/>
    </row>
    <row r="174" spans="2:11" x14ac:dyDescent="0.3">
      <c r="B174" s="397"/>
      <c r="C174" s="330" t="s">
        <v>153</v>
      </c>
      <c r="D174" s="367"/>
      <c r="E174" s="367"/>
      <c r="F174" s="367"/>
      <c r="G174" s="367"/>
      <c r="I174" s="399">
        <v>32.42</v>
      </c>
    </row>
    <row r="175" spans="2:11" x14ac:dyDescent="0.3">
      <c r="D175" s="343"/>
      <c r="E175" s="343"/>
      <c r="F175" s="343"/>
      <c r="G175" s="343"/>
      <c r="I175" s="276"/>
    </row>
    <row r="176" spans="2:11" x14ac:dyDescent="0.3">
      <c r="B176" s="397"/>
      <c r="C176" s="397" t="s">
        <v>154</v>
      </c>
      <c r="D176" s="397"/>
      <c r="E176" s="397"/>
      <c r="F176" s="397"/>
      <c r="G176" s="297"/>
      <c r="I176" s="401">
        <f>I174+I171+I167+I160+I146</f>
        <v>378.07000000000005</v>
      </c>
    </row>
    <row r="177" spans="2:10" ht="19.5" thickBot="1" x14ac:dyDescent="0.35">
      <c r="B177" s="397"/>
      <c r="C177" s="397"/>
      <c r="D177" s="397"/>
      <c r="E177" s="397"/>
      <c r="F177" s="397"/>
      <c r="G177" s="297"/>
      <c r="I177" s="276"/>
    </row>
    <row r="178" spans="2:10" ht="19.5" thickBot="1" x14ac:dyDescent="0.35">
      <c r="B178" s="453" t="s">
        <v>155</v>
      </c>
      <c r="C178" s="453"/>
      <c r="D178" s="453"/>
      <c r="E178" s="265"/>
      <c r="F178" s="265"/>
      <c r="G178" s="402" t="s">
        <v>156</v>
      </c>
      <c r="H178" s="265"/>
    </row>
    <row r="179" spans="2:10" x14ac:dyDescent="0.3">
      <c r="G179" s="297"/>
    </row>
    <row r="180" spans="2:10" ht="36.75" x14ac:dyDescent="0.3">
      <c r="B180" s="319" t="s">
        <v>3</v>
      </c>
      <c r="C180" s="403" t="s">
        <v>157</v>
      </c>
      <c r="D180" s="403" t="s">
        <v>42</v>
      </c>
      <c r="E180" s="403" t="s">
        <v>158</v>
      </c>
      <c r="F180" s="403" t="s">
        <v>159</v>
      </c>
      <c r="G180" s="403" t="s">
        <v>160</v>
      </c>
      <c r="H180" s="265"/>
    </row>
    <row r="181" spans="2:10" x14ac:dyDescent="0.3">
      <c r="B181" s="319"/>
      <c r="C181" s="403"/>
      <c r="D181" s="403"/>
      <c r="E181" s="403"/>
      <c r="F181" s="403"/>
      <c r="G181" s="403"/>
      <c r="H181" s="265"/>
    </row>
    <row r="182" spans="2:10" x14ac:dyDescent="0.3">
      <c r="B182" s="271">
        <v>1</v>
      </c>
      <c r="C182" s="356" t="s">
        <v>161</v>
      </c>
      <c r="D182" s="404" t="s">
        <v>59</v>
      </c>
      <c r="E182" s="404">
        <v>2</v>
      </c>
      <c r="F182" s="404">
        <v>280</v>
      </c>
      <c r="G182" s="404">
        <v>560</v>
      </c>
      <c r="H182" s="265"/>
    </row>
    <row r="183" spans="2:10" ht="54.75" x14ac:dyDescent="0.3">
      <c r="B183" s="271">
        <v>2</v>
      </c>
      <c r="C183" s="356" t="s">
        <v>162</v>
      </c>
      <c r="D183" s="404"/>
      <c r="E183" s="403"/>
      <c r="F183" s="403"/>
      <c r="G183" s="404">
        <v>29.07</v>
      </c>
      <c r="H183" s="265"/>
    </row>
    <row r="184" spans="2:10" ht="36.75" x14ac:dyDescent="0.3">
      <c r="B184" s="271">
        <v>3</v>
      </c>
      <c r="C184" s="356" t="s">
        <v>164</v>
      </c>
      <c r="D184" s="404" t="s">
        <v>163</v>
      </c>
      <c r="E184" s="403"/>
      <c r="F184" s="403"/>
      <c r="G184" s="404">
        <v>643.07000000000005</v>
      </c>
      <c r="H184" s="265"/>
    </row>
    <row r="185" spans="2:10" x14ac:dyDescent="0.3">
      <c r="B185" s="271">
        <v>4</v>
      </c>
      <c r="C185" s="356" t="s">
        <v>165</v>
      </c>
      <c r="D185" s="404" t="s">
        <v>163</v>
      </c>
      <c r="E185" s="403"/>
      <c r="F185" s="403"/>
      <c r="G185" s="404">
        <v>334.9</v>
      </c>
      <c r="H185" s="265"/>
    </row>
    <row r="186" spans="2:10" x14ac:dyDescent="0.3">
      <c r="B186" s="271">
        <v>5</v>
      </c>
      <c r="C186" s="321" t="s">
        <v>166</v>
      </c>
      <c r="D186" s="404"/>
      <c r="E186" s="403"/>
      <c r="F186" s="403"/>
      <c r="G186" s="405">
        <v>3147.05</v>
      </c>
      <c r="H186" s="406"/>
    </row>
    <row r="187" spans="2:10" ht="36.75" x14ac:dyDescent="0.3">
      <c r="B187" s="320">
        <v>6</v>
      </c>
      <c r="C187" s="356" t="s">
        <v>167</v>
      </c>
      <c r="D187" s="404" t="s">
        <v>168</v>
      </c>
      <c r="E187" s="320"/>
      <c r="F187" s="320"/>
      <c r="G187" s="407">
        <v>3692.31</v>
      </c>
      <c r="H187" s="408"/>
      <c r="I187" s="265"/>
      <c r="J187" s="265"/>
    </row>
    <row r="188" spans="2:10" x14ac:dyDescent="0.3">
      <c r="B188" s="271"/>
      <c r="C188" s="409" t="s">
        <v>38</v>
      </c>
      <c r="D188" s="305"/>
      <c r="E188" s="305"/>
      <c r="F188" s="305"/>
      <c r="G188" s="326">
        <f>G182+G183+G184+G185+G186+G187</f>
        <v>8406.4</v>
      </c>
      <c r="H188" s="265"/>
      <c r="I188" s="265"/>
      <c r="J188" s="265"/>
    </row>
    <row r="189" spans="2:10" x14ac:dyDescent="0.3">
      <c r="B189" s="366"/>
      <c r="C189" s="359"/>
      <c r="D189" s="366"/>
      <c r="E189" s="366"/>
      <c r="F189" s="366"/>
      <c r="G189" s="410"/>
      <c r="H189" s="265"/>
      <c r="I189" s="265"/>
      <c r="J189" s="265"/>
    </row>
    <row r="190" spans="2:10" x14ac:dyDescent="0.3">
      <c r="B190" s="366"/>
      <c r="C190" s="359" t="s">
        <v>169</v>
      </c>
      <c r="D190" s="366"/>
      <c r="E190" s="366"/>
      <c r="F190" s="366"/>
      <c r="G190" s="410"/>
      <c r="H190" s="265"/>
      <c r="I190" s="265"/>
      <c r="J190" s="265"/>
    </row>
    <row r="191" spans="2:10" x14ac:dyDescent="0.3">
      <c r="B191" s="366"/>
      <c r="C191" s="268" t="s">
        <v>170</v>
      </c>
      <c r="D191" s="366"/>
      <c r="E191" s="366"/>
      <c r="F191" s="366"/>
      <c r="G191" s="411"/>
      <c r="H191" s="265"/>
      <c r="I191" s="265"/>
      <c r="J191" s="265"/>
    </row>
    <row r="192" spans="2:10" x14ac:dyDescent="0.3">
      <c r="B192" s="366"/>
      <c r="C192" s="268" t="s">
        <v>171</v>
      </c>
      <c r="D192" s="366"/>
      <c r="E192" s="366"/>
      <c r="F192" s="366"/>
      <c r="G192" s="411"/>
      <c r="H192" s="265"/>
      <c r="I192" s="265"/>
      <c r="J192" s="265"/>
    </row>
    <row r="193" spans="2:10" x14ac:dyDescent="0.3">
      <c r="B193" s="366"/>
      <c r="C193" s="268" t="s">
        <v>172</v>
      </c>
      <c r="D193" s="366"/>
      <c r="E193" s="366"/>
      <c r="F193" s="366"/>
      <c r="G193" s="411"/>
      <c r="H193" s="265"/>
      <c r="I193" s="265"/>
      <c r="J193" s="265"/>
    </row>
    <row r="194" spans="2:10" x14ac:dyDescent="0.3">
      <c r="B194" s="366"/>
      <c r="C194" s="268" t="s">
        <v>173</v>
      </c>
      <c r="D194" s="366"/>
      <c r="E194" s="366"/>
      <c r="F194" s="366"/>
      <c r="G194" s="411"/>
      <c r="H194" s="265"/>
      <c r="I194" s="265"/>
      <c r="J194" s="265"/>
    </row>
    <row r="195" spans="2:10" x14ac:dyDescent="0.3">
      <c r="B195" s="366"/>
      <c r="C195" s="268" t="s">
        <v>174</v>
      </c>
      <c r="D195" s="366"/>
      <c r="E195" s="366"/>
      <c r="F195" s="366"/>
      <c r="G195" s="411"/>
      <c r="H195" s="265"/>
      <c r="I195" s="265"/>
      <c r="J195" s="265"/>
    </row>
    <row r="196" spans="2:10" x14ac:dyDescent="0.3">
      <c r="B196" s="366"/>
      <c r="C196" s="268" t="s">
        <v>175</v>
      </c>
      <c r="D196" s="366"/>
      <c r="E196" s="366" t="s">
        <v>176</v>
      </c>
      <c r="F196" s="366"/>
      <c r="G196" s="411"/>
      <c r="H196" s="265"/>
      <c r="I196" s="265"/>
      <c r="J196" s="265"/>
    </row>
    <row r="197" spans="2:10" x14ac:dyDescent="0.3">
      <c r="B197" s="366"/>
      <c r="C197" s="359"/>
      <c r="D197" s="366"/>
      <c r="E197" s="366"/>
      <c r="F197" s="366"/>
      <c r="G197" s="410"/>
      <c r="H197" s="265"/>
      <c r="I197" s="265"/>
      <c r="J197" s="265"/>
    </row>
    <row r="198" spans="2:10" x14ac:dyDescent="0.3">
      <c r="B198" s="366"/>
      <c r="C198" s="359" t="s">
        <v>177</v>
      </c>
      <c r="D198" s="366"/>
      <c r="E198" s="366"/>
      <c r="F198" s="366"/>
      <c r="G198" s="410"/>
      <c r="H198" s="265"/>
      <c r="I198" s="265"/>
      <c r="J198" s="265"/>
    </row>
    <row r="199" spans="2:10" x14ac:dyDescent="0.3">
      <c r="B199" s="366"/>
      <c r="C199" s="359"/>
      <c r="D199" s="366"/>
      <c r="E199" s="366"/>
      <c r="F199" s="366"/>
      <c r="G199" s="410"/>
      <c r="H199" s="265"/>
      <c r="I199" s="265"/>
      <c r="J199" s="265"/>
    </row>
    <row r="200" spans="2:10" x14ac:dyDescent="0.3">
      <c r="B200" s="366"/>
      <c r="C200" s="268" t="s">
        <v>178</v>
      </c>
      <c r="D200" s="366"/>
      <c r="E200" s="366"/>
      <c r="F200" s="366"/>
      <c r="G200" s="410"/>
      <c r="H200" s="265"/>
      <c r="I200" s="265"/>
      <c r="J200" s="265"/>
    </row>
    <row r="201" spans="2:10" x14ac:dyDescent="0.3">
      <c r="B201" s="366"/>
      <c r="C201" s="268" t="s">
        <v>179</v>
      </c>
      <c r="D201" s="366"/>
      <c r="E201" s="366"/>
      <c r="F201" s="366"/>
      <c r="G201" s="410"/>
      <c r="H201" s="265"/>
      <c r="I201" s="265"/>
      <c r="J201" s="265"/>
    </row>
    <row r="202" spans="2:10" x14ac:dyDescent="0.3">
      <c r="B202" s="366"/>
      <c r="C202" s="268" t="s">
        <v>180</v>
      </c>
      <c r="D202" s="366"/>
      <c r="E202" s="366"/>
      <c r="F202" s="366"/>
      <c r="G202" s="410"/>
      <c r="H202" s="265"/>
      <c r="I202" s="265"/>
      <c r="J202" s="265"/>
    </row>
    <row r="203" spans="2:10" x14ac:dyDescent="0.3">
      <c r="B203" s="366"/>
      <c r="C203" s="268" t="s">
        <v>181</v>
      </c>
      <c r="D203" s="366"/>
      <c r="E203" s="366"/>
      <c r="F203" s="366"/>
      <c r="G203" s="410"/>
      <c r="H203" s="265"/>
      <c r="I203" s="265"/>
      <c r="J203" s="265"/>
    </row>
    <row r="204" spans="2:10" x14ac:dyDescent="0.3">
      <c r="B204" s="366"/>
      <c r="C204" s="268" t="s">
        <v>182</v>
      </c>
      <c r="D204" s="366"/>
      <c r="E204" s="366"/>
      <c r="F204" s="366"/>
      <c r="G204" s="410"/>
      <c r="H204" s="265"/>
      <c r="I204" s="265"/>
      <c r="J204" s="265"/>
    </row>
    <row r="205" spans="2:10" x14ac:dyDescent="0.3">
      <c r="B205" s="366"/>
      <c r="C205" s="268" t="s">
        <v>183</v>
      </c>
      <c r="D205" s="366"/>
      <c r="E205" s="366"/>
      <c r="F205" s="366"/>
      <c r="G205" s="410"/>
      <c r="H205" s="265"/>
      <c r="I205" s="265"/>
      <c r="J205" s="265"/>
    </row>
    <row r="206" spans="2:10" x14ac:dyDescent="0.3">
      <c r="B206" s="366"/>
      <c r="C206" s="268" t="s">
        <v>184</v>
      </c>
      <c r="D206" s="366"/>
      <c r="E206" s="366" t="s">
        <v>185</v>
      </c>
      <c r="F206" s="366"/>
      <c r="G206" s="410"/>
      <c r="H206" s="265"/>
      <c r="I206" s="265"/>
      <c r="J206" s="265"/>
    </row>
    <row r="207" spans="2:10" x14ac:dyDescent="0.3">
      <c r="B207" s="366"/>
      <c r="C207" s="268" t="s">
        <v>186</v>
      </c>
      <c r="D207" s="366"/>
      <c r="E207" s="366"/>
      <c r="F207" s="366"/>
      <c r="G207" s="411"/>
      <c r="H207" s="265"/>
      <c r="I207" s="265"/>
      <c r="J207" s="265"/>
    </row>
    <row r="208" spans="2:10" x14ac:dyDescent="0.3">
      <c r="B208" s="366"/>
      <c r="C208" s="359" t="s">
        <v>305</v>
      </c>
      <c r="D208" s="366"/>
      <c r="E208" s="366"/>
      <c r="F208" s="366"/>
      <c r="H208" s="265"/>
      <c r="I208" s="265"/>
      <c r="J208" s="265"/>
    </row>
    <row r="209" spans="2:10" x14ac:dyDescent="0.3">
      <c r="B209" s="366"/>
      <c r="C209" s="359" t="s">
        <v>187</v>
      </c>
      <c r="D209" s="366"/>
      <c r="E209" s="366"/>
      <c r="F209" s="366"/>
      <c r="G209" s="410"/>
      <c r="H209" s="265"/>
      <c r="I209" s="265"/>
      <c r="J209" s="265"/>
    </row>
    <row r="210" spans="2:10" ht="7.5" customHeight="1" x14ac:dyDescent="0.3">
      <c r="B210" s="366"/>
      <c r="C210" s="359"/>
      <c r="D210" s="366"/>
      <c r="E210" s="366"/>
      <c r="F210" s="366"/>
      <c r="G210" s="410"/>
      <c r="H210" s="265"/>
      <c r="I210" s="265"/>
      <c r="J210" s="265"/>
    </row>
    <row r="211" spans="2:10" x14ac:dyDescent="0.3">
      <c r="B211" s="366"/>
      <c r="C211" s="268" t="s">
        <v>170</v>
      </c>
      <c r="D211" s="366"/>
      <c r="E211" s="366"/>
      <c r="F211" s="366"/>
      <c r="G211" s="410"/>
      <c r="H211" s="265"/>
      <c r="I211" s="265"/>
      <c r="J211" s="265"/>
    </row>
    <row r="212" spans="2:10" x14ac:dyDescent="0.3">
      <c r="B212" s="366"/>
      <c r="C212" s="268" t="s">
        <v>171</v>
      </c>
      <c r="D212" s="366"/>
      <c r="E212" s="366"/>
      <c r="F212" s="366"/>
      <c r="G212" s="410"/>
      <c r="H212" s="265"/>
      <c r="I212" s="265"/>
      <c r="J212" s="265"/>
    </row>
    <row r="213" spans="2:10" x14ac:dyDescent="0.3">
      <c r="B213" s="366"/>
      <c r="C213" s="268" t="s">
        <v>178</v>
      </c>
      <c r="D213" s="366"/>
      <c r="E213" s="366"/>
      <c r="F213" s="366"/>
      <c r="G213" s="410"/>
      <c r="H213" s="265"/>
      <c r="I213" s="265"/>
      <c r="J213" s="265"/>
    </row>
    <row r="214" spans="2:10" x14ac:dyDescent="0.3">
      <c r="B214" s="366"/>
      <c r="C214" s="268" t="s">
        <v>188</v>
      </c>
      <c r="D214" s="366"/>
      <c r="E214" s="366"/>
      <c r="F214" s="366"/>
      <c r="G214" s="410"/>
      <c r="H214" s="265"/>
      <c r="I214" s="265"/>
      <c r="J214" s="265"/>
    </row>
    <row r="215" spans="2:10" x14ac:dyDescent="0.3">
      <c r="B215" s="366"/>
      <c r="C215" s="268" t="s">
        <v>189</v>
      </c>
      <c r="D215" s="366"/>
      <c r="E215" s="366"/>
      <c r="F215" s="366"/>
      <c r="G215" s="410"/>
      <c r="H215" s="265"/>
      <c r="I215" s="265"/>
      <c r="J215" s="265"/>
    </row>
    <row r="216" spans="2:10" x14ac:dyDescent="0.3">
      <c r="B216" s="366"/>
      <c r="C216" s="268" t="s">
        <v>190</v>
      </c>
      <c r="D216" s="366"/>
      <c r="E216" s="366"/>
      <c r="F216" s="366"/>
      <c r="G216" s="410"/>
      <c r="H216" s="265"/>
      <c r="I216" s="265"/>
      <c r="J216" s="265"/>
    </row>
    <row r="217" spans="2:10" x14ac:dyDescent="0.3">
      <c r="B217" s="366"/>
      <c r="C217" s="268" t="s">
        <v>191</v>
      </c>
      <c r="D217" s="366"/>
      <c r="E217" s="366"/>
      <c r="F217" s="366"/>
      <c r="G217" s="410"/>
      <c r="H217" s="265"/>
      <c r="I217" s="265"/>
      <c r="J217" s="265"/>
    </row>
    <row r="218" spans="2:10" x14ac:dyDescent="0.3">
      <c r="B218" s="366"/>
      <c r="C218" s="268" t="s">
        <v>192</v>
      </c>
      <c r="D218" s="366"/>
      <c r="E218" s="366"/>
      <c r="F218" s="366"/>
      <c r="G218" s="410"/>
      <c r="H218" s="265"/>
      <c r="I218" s="265"/>
      <c r="J218" s="265"/>
    </row>
    <row r="219" spans="2:10" x14ac:dyDescent="0.3">
      <c r="B219" s="366"/>
      <c r="C219" s="412" t="s">
        <v>193</v>
      </c>
      <c r="D219" s="366"/>
      <c r="E219" s="366"/>
      <c r="F219" s="366"/>
      <c r="G219" s="410"/>
      <c r="H219" s="265"/>
      <c r="I219" s="265"/>
      <c r="J219" s="265"/>
    </row>
    <row r="220" spans="2:10" x14ac:dyDescent="0.3">
      <c r="B220" s="366"/>
      <c r="C220" s="413" t="s">
        <v>306</v>
      </c>
      <c r="E220" s="366"/>
      <c r="F220" s="366"/>
      <c r="G220" s="410"/>
      <c r="H220" s="265"/>
      <c r="I220" s="265"/>
      <c r="J220" s="265"/>
    </row>
    <row r="221" spans="2:10" x14ac:dyDescent="0.3">
      <c r="B221" s="366"/>
      <c r="C221" s="359"/>
      <c r="D221" s="366"/>
      <c r="E221" s="366"/>
      <c r="F221" s="366"/>
      <c r="G221" s="410"/>
      <c r="H221" s="265"/>
      <c r="I221" s="265"/>
      <c r="J221" s="265"/>
    </row>
    <row r="222" spans="2:10" x14ac:dyDescent="0.3">
      <c r="B222" s="366"/>
      <c r="C222" s="359" t="s">
        <v>194</v>
      </c>
      <c r="D222" s="366"/>
      <c r="E222" s="366"/>
      <c r="F222" s="366"/>
      <c r="G222" s="410"/>
      <c r="H222" s="265"/>
      <c r="I222" s="265"/>
      <c r="J222" s="265"/>
    </row>
    <row r="223" spans="2:10" ht="5.25" customHeight="1" x14ac:dyDescent="0.3">
      <c r="B223" s="366"/>
      <c r="C223" s="359"/>
      <c r="D223" s="366"/>
      <c r="E223" s="366"/>
      <c r="F223" s="366"/>
      <c r="G223" s="410"/>
      <c r="H223" s="265"/>
      <c r="I223" s="265"/>
      <c r="J223" s="265"/>
    </row>
    <row r="224" spans="2:10" x14ac:dyDescent="0.3">
      <c r="B224" s="366"/>
      <c r="C224" s="268" t="s">
        <v>195</v>
      </c>
      <c r="D224" s="366"/>
      <c r="E224" s="366"/>
      <c r="F224" s="366"/>
      <c r="G224" s="410"/>
      <c r="H224" s="265"/>
      <c r="I224" s="265"/>
      <c r="J224" s="265"/>
    </row>
    <row r="225" spans="2:10" x14ac:dyDescent="0.3">
      <c r="B225" s="366"/>
      <c r="C225" s="268"/>
      <c r="D225" s="366"/>
      <c r="E225" s="366"/>
      <c r="F225" s="366"/>
      <c r="G225" s="410"/>
      <c r="H225" s="265"/>
      <c r="I225" s="265"/>
      <c r="J225" s="265"/>
    </row>
    <row r="226" spans="2:10" x14ac:dyDescent="0.3">
      <c r="B226" s="366"/>
      <c r="C226" s="359" t="s">
        <v>307</v>
      </c>
      <c r="D226" s="366"/>
      <c r="E226" s="366"/>
      <c r="F226" s="366"/>
      <c r="G226" s="410"/>
      <c r="H226" s="265"/>
      <c r="I226" s="265"/>
      <c r="J226" s="265"/>
    </row>
    <row r="227" spans="2:10" x14ac:dyDescent="0.3">
      <c r="B227" s="366"/>
      <c r="C227" s="359"/>
      <c r="D227" s="366"/>
      <c r="E227" s="366"/>
      <c r="F227" s="366"/>
      <c r="G227" s="410"/>
      <c r="H227" s="265"/>
      <c r="I227" s="265"/>
      <c r="J227" s="265"/>
    </row>
    <row r="228" spans="2:10" x14ac:dyDescent="0.3">
      <c r="B228" s="366"/>
      <c r="C228" s="359" t="s">
        <v>197</v>
      </c>
      <c r="D228" s="366"/>
      <c r="E228" s="366"/>
      <c r="F228" s="366"/>
      <c r="G228" s="410"/>
      <c r="H228" s="265"/>
      <c r="I228" s="265"/>
      <c r="J228" s="265"/>
    </row>
    <row r="229" spans="2:10" ht="5.25" customHeight="1" x14ac:dyDescent="0.3">
      <c r="B229" s="366"/>
      <c r="C229" s="359"/>
      <c r="D229" s="366"/>
      <c r="E229" s="366"/>
      <c r="F229" s="366"/>
      <c r="G229" s="410"/>
      <c r="H229" s="265"/>
      <c r="I229" s="265"/>
      <c r="J229" s="265"/>
    </row>
    <row r="230" spans="2:10" x14ac:dyDescent="0.3">
      <c r="B230" s="366"/>
      <c r="C230" s="268" t="s">
        <v>198</v>
      </c>
      <c r="D230" s="366"/>
      <c r="E230" s="366"/>
      <c r="F230" s="366"/>
      <c r="G230" s="410"/>
      <c r="H230" s="265"/>
      <c r="I230" s="265"/>
      <c r="J230" s="265"/>
    </row>
    <row r="231" spans="2:10" x14ac:dyDescent="0.3">
      <c r="B231" s="366"/>
      <c r="C231" s="359" t="s">
        <v>308</v>
      </c>
      <c r="D231" s="366"/>
      <c r="E231" s="366"/>
      <c r="F231" s="366"/>
      <c r="G231" s="410"/>
      <c r="H231" s="265"/>
      <c r="I231" s="265"/>
      <c r="J231" s="265"/>
    </row>
    <row r="232" spans="2:10" x14ac:dyDescent="0.3">
      <c r="B232" s="366"/>
      <c r="C232" s="359"/>
      <c r="D232" s="366"/>
      <c r="E232" s="366"/>
      <c r="F232" s="366"/>
      <c r="G232" s="410"/>
      <c r="H232" s="265"/>
      <c r="I232" s="265"/>
      <c r="J232" s="265"/>
    </row>
    <row r="233" spans="2:10" x14ac:dyDescent="0.3">
      <c r="B233" s="366"/>
      <c r="C233" s="359" t="s">
        <v>200</v>
      </c>
      <c r="D233" s="366"/>
      <c r="E233" s="366"/>
      <c r="F233" s="366"/>
      <c r="G233" s="410"/>
      <c r="H233" s="265"/>
      <c r="I233" s="265"/>
      <c r="J233" s="265"/>
    </row>
    <row r="234" spans="2:10" ht="6.75" customHeight="1" x14ac:dyDescent="0.3">
      <c r="B234" s="366"/>
      <c r="C234" s="359"/>
      <c r="D234" s="366"/>
      <c r="E234" s="366"/>
      <c r="F234" s="366"/>
      <c r="G234" s="410"/>
      <c r="H234" s="265"/>
      <c r="I234" s="265"/>
      <c r="J234" s="265"/>
    </row>
    <row r="235" spans="2:10" x14ac:dyDescent="0.3">
      <c r="B235" s="366"/>
      <c r="C235" s="268" t="s">
        <v>170</v>
      </c>
      <c r="D235" s="366"/>
      <c r="E235" s="366"/>
      <c r="F235" s="366"/>
      <c r="G235" s="411"/>
      <c r="H235" s="265"/>
      <c r="I235" s="265"/>
      <c r="J235" s="265"/>
    </row>
    <row r="236" spans="2:10" x14ac:dyDescent="0.3">
      <c r="B236" s="366"/>
      <c r="C236" s="268" t="s">
        <v>171</v>
      </c>
      <c r="D236" s="366"/>
      <c r="E236" s="366"/>
      <c r="F236" s="366"/>
      <c r="G236" s="411"/>
      <c r="H236" s="265"/>
      <c r="I236" s="265"/>
      <c r="J236" s="265"/>
    </row>
    <row r="237" spans="2:10" x14ac:dyDescent="0.3">
      <c r="B237" s="366"/>
      <c r="C237" s="268" t="s">
        <v>201</v>
      </c>
      <c r="D237" s="366"/>
      <c r="E237" s="366"/>
      <c r="F237" s="366"/>
      <c r="G237" s="411"/>
      <c r="H237" s="265"/>
      <c r="I237" s="265"/>
      <c r="J237" s="265"/>
    </row>
    <row r="238" spans="2:10" x14ac:dyDescent="0.3">
      <c r="B238" s="366"/>
      <c r="C238" s="268" t="s">
        <v>173</v>
      </c>
      <c r="D238" s="366"/>
      <c r="E238" s="366"/>
      <c r="F238" s="366"/>
      <c r="G238" s="411"/>
      <c r="H238" s="265"/>
      <c r="I238" s="265"/>
      <c r="J238" s="265"/>
    </row>
    <row r="239" spans="2:10" x14ac:dyDescent="0.3">
      <c r="B239" s="366"/>
      <c r="C239" s="268" t="s">
        <v>309</v>
      </c>
      <c r="D239" s="366"/>
      <c r="E239" s="366"/>
      <c r="F239" s="366"/>
      <c r="G239" s="411"/>
      <c r="H239" s="265"/>
      <c r="I239" s="265"/>
      <c r="J239" s="265"/>
    </row>
    <row r="240" spans="2:10" x14ac:dyDescent="0.3">
      <c r="B240" s="366"/>
      <c r="C240" s="359" t="s">
        <v>310</v>
      </c>
      <c r="D240" s="366"/>
      <c r="E240" s="366"/>
      <c r="F240" s="366"/>
      <c r="G240" s="411"/>
      <c r="H240" s="265"/>
      <c r="I240" s="265"/>
      <c r="J240" s="265"/>
    </row>
    <row r="241" spans="2:7" x14ac:dyDescent="0.3">
      <c r="B241" s="367"/>
      <c r="C241" s="367" t="s">
        <v>203</v>
      </c>
      <c r="D241" s="367"/>
      <c r="E241" s="367"/>
      <c r="F241" s="348"/>
    </row>
    <row r="242" spans="2:7" x14ac:dyDescent="0.3">
      <c r="B242" s="367"/>
      <c r="C242" s="367" t="s">
        <v>311</v>
      </c>
      <c r="D242" s="367"/>
      <c r="E242" s="367"/>
      <c r="F242" s="348"/>
    </row>
    <row r="243" spans="2:7" x14ac:dyDescent="0.3">
      <c r="B243" s="367"/>
      <c r="C243" s="367"/>
      <c r="D243" s="367"/>
      <c r="E243" s="367"/>
      <c r="F243" s="348"/>
    </row>
    <row r="244" spans="2:7" x14ac:dyDescent="0.3">
      <c r="B244" s="367"/>
      <c r="C244" s="359" t="s">
        <v>208</v>
      </c>
      <c r="D244" s="366"/>
      <c r="E244" s="367"/>
      <c r="F244" s="348"/>
    </row>
    <row r="245" spans="2:7" x14ac:dyDescent="0.3">
      <c r="B245" s="367"/>
      <c r="C245" s="268" t="s">
        <v>209</v>
      </c>
      <c r="D245" s="366"/>
      <c r="E245" s="367"/>
      <c r="F245" s="348"/>
    </row>
    <row r="246" spans="2:7" x14ac:dyDescent="0.3">
      <c r="B246" s="367"/>
      <c r="C246" s="359" t="s">
        <v>210</v>
      </c>
      <c r="D246" s="366"/>
      <c r="E246" s="367"/>
      <c r="F246" s="348"/>
    </row>
    <row r="247" spans="2:7" ht="8.25" customHeight="1" x14ac:dyDescent="0.3">
      <c r="B247" s="367"/>
      <c r="C247" s="367"/>
      <c r="D247" s="367"/>
      <c r="E247" s="367"/>
      <c r="F247" s="348"/>
    </row>
    <row r="248" spans="2:7" ht="19.5" thickBot="1" x14ac:dyDescent="0.35">
      <c r="B248" s="265"/>
      <c r="E248" s="265"/>
    </row>
    <row r="249" spans="2:7" ht="19.5" thickBot="1" x14ac:dyDescent="0.35">
      <c r="B249" s="297"/>
      <c r="C249" s="414" t="s">
        <v>211</v>
      </c>
      <c r="D249" s="265"/>
      <c r="G249" s="267" t="s">
        <v>212</v>
      </c>
    </row>
    <row r="251" spans="2:7" ht="90" x14ac:dyDescent="0.3">
      <c r="B251" s="269" t="s">
        <v>3</v>
      </c>
      <c r="C251" s="269" t="s">
        <v>213</v>
      </c>
      <c r="D251" s="299" t="s">
        <v>214</v>
      </c>
      <c r="E251" s="265"/>
    </row>
    <row r="252" spans="2:7" ht="54.75" x14ac:dyDescent="0.3">
      <c r="B252" s="271">
        <v>1</v>
      </c>
      <c r="C252" s="415" t="s">
        <v>215</v>
      </c>
      <c r="D252" s="416">
        <f>0</f>
        <v>0</v>
      </c>
      <c r="E252" s="265"/>
    </row>
    <row r="253" spans="2:7" x14ac:dyDescent="0.3">
      <c r="B253" s="271">
        <v>2</v>
      </c>
      <c r="C253" s="274" t="s">
        <v>216</v>
      </c>
      <c r="D253" s="417">
        <f>I176</f>
        <v>378.07000000000005</v>
      </c>
      <c r="E253" s="265"/>
    </row>
    <row r="254" spans="2:7" ht="54.75" x14ac:dyDescent="0.3">
      <c r="B254" s="271">
        <v>3</v>
      </c>
      <c r="C254" s="415" t="s">
        <v>217</v>
      </c>
      <c r="D254" s="418">
        <f>G188</f>
        <v>8406.4</v>
      </c>
      <c r="E254" s="265"/>
    </row>
    <row r="255" spans="2:7" x14ac:dyDescent="0.3">
      <c r="B255" s="271"/>
      <c r="C255" s="274"/>
      <c r="D255" s="271"/>
      <c r="E255" s="265"/>
    </row>
    <row r="256" spans="2:7" x14ac:dyDescent="0.3">
      <c r="B256" s="274"/>
      <c r="C256" s="409" t="s">
        <v>102</v>
      </c>
      <c r="D256" s="326">
        <f>D252+D253+D254</f>
        <v>8784.4699999999993</v>
      </c>
      <c r="E256" s="265"/>
    </row>
    <row r="257" spans="2:8" ht="19.5" thickBot="1" x14ac:dyDescent="0.35"/>
    <row r="258" spans="2:8" ht="19.5" thickBot="1" x14ac:dyDescent="0.35">
      <c r="B258" s="265"/>
      <c r="C258" s="308" t="s">
        <v>218</v>
      </c>
      <c r="D258" s="265"/>
      <c r="E258" s="419" t="s">
        <v>219</v>
      </c>
    </row>
    <row r="260" spans="2:8" ht="36" x14ac:dyDescent="0.3">
      <c r="B260" s="269" t="s">
        <v>3</v>
      </c>
      <c r="C260" s="299" t="s">
        <v>220</v>
      </c>
      <c r="D260" s="299"/>
      <c r="E260" s="299" t="s">
        <v>221</v>
      </c>
      <c r="F260" s="420"/>
      <c r="G260" s="420"/>
      <c r="H260" s="420"/>
    </row>
    <row r="261" spans="2:8" ht="72.75" x14ac:dyDescent="0.3">
      <c r="B261" s="271">
        <v>1</v>
      </c>
      <c r="C261" s="415" t="s">
        <v>222</v>
      </c>
      <c r="D261" s="274"/>
      <c r="E261" s="357">
        <f>K102</f>
        <v>11916.471672</v>
      </c>
      <c r="F261" s="268"/>
      <c r="G261" s="268"/>
      <c r="H261" s="268"/>
    </row>
    <row r="262" spans="2:8" ht="54.75" x14ac:dyDescent="0.3">
      <c r="B262" s="271">
        <v>2</v>
      </c>
      <c r="C262" s="415" t="s">
        <v>223</v>
      </c>
      <c r="D262" s="274"/>
      <c r="E262" s="357">
        <f>D256</f>
        <v>8784.4699999999993</v>
      </c>
      <c r="G262" s="268"/>
      <c r="H262" s="268"/>
    </row>
    <row r="263" spans="2:8" ht="90.75" x14ac:dyDescent="0.3">
      <c r="B263" s="271">
        <v>3</v>
      </c>
      <c r="C263" s="415" t="s">
        <v>224</v>
      </c>
      <c r="D263" s="421"/>
      <c r="E263" s="422">
        <f>I124</f>
        <v>5.0976411981658689</v>
      </c>
      <c r="F263" s="268"/>
      <c r="G263" s="268"/>
      <c r="H263" s="268"/>
    </row>
    <row r="264" spans="2:8" ht="72.75" x14ac:dyDescent="0.3">
      <c r="B264" s="271">
        <v>4</v>
      </c>
      <c r="C264" s="415" t="s">
        <v>225</v>
      </c>
      <c r="D264" s="357"/>
      <c r="E264" s="357">
        <f>L58</f>
        <v>18015.513599999998</v>
      </c>
      <c r="F264" s="268"/>
      <c r="G264" s="268"/>
      <c r="H264" s="268"/>
    </row>
    <row r="265" spans="2:8" ht="36.75" x14ac:dyDescent="0.3">
      <c r="B265" s="271">
        <v>5</v>
      </c>
      <c r="C265" s="415" t="s">
        <v>226</v>
      </c>
      <c r="D265" s="421" t="s">
        <v>227</v>
      </c>
      <c r="E265" s="357">
        <f>(E261+E262+E263)/E264</f>
        <v>1.1493449353116509</v>
      </c>
      <c r="F265" s="268"/>
      <c r="G265" s="268"/>
      <c r="H265" s="268"/>
    </row>
    <row r="266" spans="2:8" ht="72.75" x14ac:dyDescent="0.3">
      <c r="B266" s="271">
        <v>6</v>
      </c>
      <c r="C266" s="415" t="s">
        <v>228</v>
      </c>
      <c r="D266" s="274"/>
      <c r="E266" s="357">
        <f>E264</f>
        <v>18015.513599999998</v>
      </c>
      <c r="F266" s="268"/>
      <c r="G266" s="268"/>
      <c r="H266" s="268"/>
    </row>
    <row r="267" spans="2:8" ht="36.75" x14ac:dyDescent="0.3">
      <c r="B267" s="271"/>
      <c r="C267" s="423" t="s">
        <v>229</v>
      </c>
      <c r="D267" s="325" t="s">
        <v>230</v>
      </c>
      <c r="E267" s="424">
        <f>E265*E266</f>
        <v>20706.039313198165</v>
      </c>
      <c r="F267" s="268"/>
      <c r="G267" s="268"/>
      <c r="H267" s="268"/>
    </row>
    <row r="268" spans="2:8" ht="19.5" thickBot="1" x14ac:dyDescent="0.35">
      <c r="B268" s="366"/>
      <c r="C268" s="425"/>
      <c r="D268" s="268"/>
      <c r="E268" s="268"/>
      <c r="F268" s="268"/>
      <c r="G268" s="268"/>
      <c r="H268" s="268"/>
    </row>
    <row r="269" spans="2:8" ht="19.5" thickBot="1" x14ac:dyDescent="0.35">
      <c r="B269" s="265"/>
      <c r="C269" s="308" t="s">
        <v>231</v>
      </c>
      <c r="D269" s="265"/>
      <c r="E269" s="419" t="s">
        <v>232</v>
      </c>
      <c r="F269" s="265"/>
      <c r="G269" s="265"/>
      <c r="H269" s="265"/>
    </row>
    <row r="271" spans="2:8" ht="36" x14ac:dyDescent="0.3">
      <c r="B271" s="269" t="s">
        <v>3</v>
      </c>
      <c r="C271" s="299" t="s">
        <v>213</v>
      </c>
      <c r="D271" s="299" t="s">
        <v>221</v>
      </c>
      <c r="E271" s="420"/>
      <c r="F271" s="420"/>
      <c r="G271" s="265"/>
      <c r="H271" s="265"/>
    </row>
    <row r="272" spans="2:8" ht="54.75" x14ac:dyDescent="0.3">
      <c r="B272" s="271">
        <v>1</v>
      </c>
      <c r="C272" s="415" t="s">
        <v>233</v>
      </c>
      <c r="D272" s="354">
        <f>E266</f>
        <v>18015.513599999998</v>
      </c>
      <c r="E272" s="268"/>
      <c r="F272" s="268"/>
      <c r="G272" s="265"/>
      <c r="H272" s="265"/>
    </row>
    <row r="273" spans="2:10" ht="36.75" x14ac:dyDescent="0.3">
      <c r="B273" s="271">
        <v>2</v>
      </c>
      <c r="C273" s="415" t="s">
        <v>234</v>
      </c>
      <c r="D273" s="426">
        <f>G72</f>
        <v>14405</v>
      </c>
      <c r="E273" s="268"/>
      <c r="F273" s="268"/>
      <c r="G273" s="265"/>
      <c r="H273" s="265"/>
      <c r="I273" s="265"/>
    </row>
    <row r="274" spans="2:10" ht="54.75" x14ac:dyDescent="0.3">
      <c r="B274" s="271">
        <v>3</v>
      </c>
      <c r="C274" s="415" t="s">
        <v>235</v>
      </c>
      <c r="D274" s="354">
        <f>E267</f>
        <v>20706.039313198165</v>
      </c>
      <c r="E274" s="268"/>
      <c r="F274" s="268"/>
      <c r="G274" s="265"/>
      <c r="H274" s="265"/>
      <c r="I274" s="265"/>
    </row>
    <row r="275" spans="2:10" x14ac:dyDescent="0.3">
      <c r="B275" s="271">
        <v>4</v>
      </c>
      <c r="C275" s="427" t="s">
        <v>236</v>
      </c>
      <c r="D275" s="416">
        <f>D272+D273+D274</f>
        <v>53126.55291319816</v>
      </c>
      <c r="E275" s="268"/>
      <c r="F275" s="268"/>
      <c r="G275" s="265"/>
      <c r="H275" s="265"/>
      <c r="I275" s="265"/>
    </row>
    <row r="276" spans="2:10" x14ac:dyDescent="0.3">
      <c r="B276" s="271">
        <v>5</v>
      </c>
      <c r="C276" s="427" t="s">
        <v>237</v>
      </c>
      <c r="D276" s="428"/>
      <c r="E276" s="268"/>
      <c r="F276" s="268"/>
      <c r="G276" s="265"/>
      <c r="H276" s="265"/>
      <c r="I276" s="265"/>
    </row>
    <row r="277" spans="2:10" x14ac:dyDescent="0.3">
      <c r="B277" s="271">
        <v>6</v>
      </c>
      <c r="C277" s="427" t="s">
        <v>238</v>
      </c>
      <c r="D277" s="272">
        <f>D275</f>
        <v>53126.55291319816</v>
      </c>
      <c r="E277" s="268"/>
      <c r="F277" s="360"/>
      <c r="G277" s="265"/>
      <c r="H277" s="276"/>
      <c r="I277" s="429"/>
      <c r="J277" s="430"/>
    </row>
    <row r="278" spans="2:10" ht="36.75" x14ac:dyDescent="0.3">
      <c r="B278" s="271">
        <v>7</v>
      </c>
      <c r="C278" s="427" t="s">
        <v>239</v>
      </c>
      <c r="D278" s="431">
        <f>D277/20/6</f>
        <v>442.72127427665129</v>
      </c>
      <c r="E278" s="268"/>
      <c r="F278" s="268"/>
      <c r="G278" s="265"/>
      <c r="H278" s="429"/>
      <c r="I278" s="429"/>
      <c r="J278" s="279"/>
    </row>
    <row r="279" spans="2:10" x14ac:dyDescent="0.3">
      <c r="H279" s="279"/>
      <c r="I279" s="279"/>
      <c r="J279" s="279"/>
    </row>
    <row r="280" spans="2:10" x14ac:dyDescent="0.3">
      <c r="C280" s="432" t="s">
        <v>312</v>
      </c>
      <c r="D280" s="432"/>
      <c r="E280" s="432"/>
      <c r="F280" s="432"/>
      <c r="G280" s="265"/>
      <c r="H280" s="276"/>
      <c r="I280" s="276"/>
      <c r="J280" s="279"/>
    </row>
    <row r="281" spans="2:10" x14ac:dyDescent="0.3">
      <c r="C281" s="329" t="s">
        <v>352</v>
      </c>
      <c r="D281" s="329"/>
      <c r="E281" s="329"/>
      <c r="F281" s="265"/>
      <c r="G281" s="265"/>
      <c r="H281" s="276"/>
      <c r="I281" s="276"/>
      <c r="J281" s="279"/>
    </row>
    <row r="282" spans="2:10" ht="19.5" thickBot="1" x14ac:dyDescent="0.35">
      <c r="B282" s="276"/>
      <c r="C282" s="276"/>
      <c r="D282" s="276"/>
      <c r="E282" s="276"/>
      <c r="F282" s="265"/>
      <c r="G282" s="265"/>
      <c r="H282" s="276"/>
      <c r="I282" s="276"/>
      <c r="J282" s="279"/>
    </row>
    <row r="283" spans="2:10" ht="19.5" thickBot="1" x14ac:dyDescent="0.35">
      <c r="B283" s="276"/>
      <c r="C283" s="433" t="s">
        <v>242</v>
      </c>
      <c r="D283" s="276"/>
      <c r="F283" s="265"/>
      <c r="G283" s="419" t="s">
        <v>243</v>
      </c>
      <c r="H283" s="276"/>
      <c r="I283" s="276"/>
      <c r="J283" s="279"/>
    </row>
    <row r="284" spans="2:10" x14ac:dyDescent="0.3">
      <c r="B284" s="276"/>
      <c r="C284" s="276"/>
      <c r="D284" s="276"/>
      <c r="E284" s="276"/>
      <c r="F284" s="265"/>
      <c r="G284" s="265"/>
      <c r="H284" s="276"/>
      <c r="I284" s="276"/>
      <c r="J284" s="279"/>
    </row>
    <row r="285" spans="2:10" ht="54" x14ac:dyDescent="0.3">
      <c r="B285" s="269" t="s">
        <v>3</v>
      </c>
      <c r="C285" s="434" t="s">
        <v>213</v>
      </c>
      <c r="D285" s="299" t="s">
        <v>244</v>
      </c>
      <c r="E285" s="299" t="s">
        <v>245</v>
      </c>
      <c r="F285" s="265"/>
      <c r="G285" s="265"/>
      <c r="H285" s="276"/>
      <c r="I285" s="276"/>
      <c r="J285" s="279"/>
    </row>
    <row r="286" spans="2:10" x14ac:dyDescent="0.3">
      <c r="B286" s="320">
        <v>1</v>
      </c>
      <c r="C286" s="335" t="s">
        <v>246</v>
      </c>
      <c r="D286" s="320" t="s">
        <v>247</v>
      </c>
      <c r="E286" s="320">
        <v>20</v>
      </c>
      <c r="F286" s="265"/>
      <c r="G286" s="265"/>
      <c r="H286" s="276"/>
      <c r="I286" s="276"/>
      <c r="J286" s="279"/>
    </row>
    <row r="287" spans="2:10" x14ac:dyDescent="0.3">
      <c r="B287" s="320">
        <v>2</v>
      </c>
      <c r="C287" s="335" t="s">
        <v>313</v>
      </c>
      <c r="D287" s="320" t="s">
        <v>249</v>
      </c>
      <c r="E287" s="320" t="s">
        <v>314</v>
      </c>
      <c r="F287" s="265"/>
      <c r="G287" s="265"/>
      <c r="H287" s="276"/>
      <c r="I287" s="276"/>
      <c r="J287" s="279"/>
    </row>
    <row r="288" spans="2:10" ht="54.75" x14ac:dyDescent="0.3">
      <c r="B288" s="320">
        <v>3</v>
      </c>
      <c r="C288" s="435" t="s">
        <v>251</v>
      </c>
      <c r="D288" s="320" t="s">
        <v>252</v>
      </c>
      <c r="E288" s="320">
        <v>24</v>
      </c>
      <c r="F288" s="265"/>
      <c r="G288" s="265"/>
      <c r="H288" s="276"/>
      <c r="I288" s="276"/>
      <c r="J288" s="279"/>
    </row>
    <row r="289" spans="2:10" ht="72.75" x14ac:dyDescent="0.3">
      <c r="B289" s="320">
        <v>4</v>
      </c>
      <c r="C289" s="435" t="s">
        <v>315</v>
      </c>
      <c r="D289" s="436" t="s">
        <v>254</v>
      </c>
      <c r="E289" s="320">
        <v>2656.33</v>
      </c>
      <c r="F289" s="265"/>
      <c r="G289" s="265"/>
      <c r="H289" s="276"/>
      <c r="I289" s="276"/>
      <c r="J289" s="279"/>
    </row>
    <row r="290" spans="2:10" ht="54.75" x14ac:dyDescent="0.3">
      <c r="B290" s="320">
        <v>5</v>
      </c>
      <c r="C290" s="435" t="s">
        <v>316</v>
      </c>
      <c r="D290" s="320" t="s">
        <v>252</v>
      </c>
      <c r="E290" s="320">
        <v>4</v>
      </c>
      <c r="F290" s="265"/>
      <c r="G290" s="265"/>
      <c r="H290" s="276"/>
      <c r="I290" s="276"/>
      <c r="J290" s="279"/>
    </row>
    <row r="291" spans="2:10" ht="54.75" x14ac:dyDescent="0.3">
      <c r="B291" s="320">
        <v>6</v>
      </c>
      <c r="C291" s="435" t="s">
        <v>317</v>
      </c>
      <c r="D291" s="320" t="s">
        <v>257</v>
      </c>
      <c r="E291" s="320">
        <v>110.68</v>
      </c>
      <c r="F291" s="265"/>
      <c r="G291" s="265"/>
      <c r="H291" s="276"/>
      <c r="I291" s="276"/>
      <c r="J291" s="279"/>
    </row>
    <row r="292" spans="2:10" ht="54.75" x14ac:dyDescent="0.3">
      <c r="B292" s="320">
        <v>7</v>
      </c>
      <c r="C292" s="435" t="s">
        <v>318</v>
      </c>
      <c r="D292" s="320" t="s">
        <v>257</v>
      </c>
      <c r="E292" s="437">
        <v>442.72</v>
      </c>
      <c r="F292" s="265"/>
      <c r="G292" s="265"/>
      <c r="H292" s="276"/>
      <c r="I292" s="276"/>
      <c r="J292" s="279"/>
    </row>
    <row r="293" spans="2:10" x14ac:dyDescent="0.3">
      <c r="B293" s="320"/>
      <c r="C293" s="435"/>
      <c r="D293" s="320"/>
      <c r="E293" s="321"/>
      <c r="F293" s="265"/>
      <c r="G293" s="265"/>
      <c r="H293" s="276"/>
      <c r="I293" s="276"/>
      <c r="J293" s="279"/>
    </row>
    <row r="294" spans="2:10" x14ac:dyDescent="0.3">
      <c r="B294" s="276"/>
      <c r="C294" s="276"/>
      <c r="D294" s="276"/>
      <c r="E294" s="276"/>
      <c r="F294" s="265"/>
      <c r="G294" s="265"/>
      <c r="H294" s="276"/>
      <c r="I294" s="276"/>
      <c r="J294" s="279"/>
    </row>
    <row r="295" spans="2:10" x14ac:dyDescent="0.3">
      <c r="C295" s="433" t="s">
        <v>259</v>
      </c>
      <c r="D295" s="276"/>
      <c r="E295" s="276"/>
      <c r="F295" s="265"/>
      <c r="G295" s="265"/>
      <c r="H295" s="276"/>
      <c r="I295" s="276"/>
      <c r="J295" s="279"/>
    </row>
    <row r="296" spans="2:10" x14ac:dyDescent="0.3">
      <c r="C296" s="545" t="s">
        <v>260</v>
      </c>
      <c r="D296" s="545"/>
      <c r="E296" s="545"/>
      <c r="F296" s="545"/>
      <c r="G296" s="438"/>
      <c r="H296" s="276"/>
      <c r="I296" s="276"/>
      <c r="J296" s="279"/>
    </row>
    <row r="297" spans="2:10" x14ac:dyDescent="0.3">
      <c r="C297" s="433" t="s">
        <v>261</v>
      </c>
      <c r="E297" s="276"/>
      <c r="F297" s="265"/>
      <c r="G297" s="265"/>
      <c r="H297" s="276"/>
      <c r="I297" s="276"/>
      <c r="J297" s="279"/>
    </row>
    <row r="298" spans="2:10" x14ac:dyDescent="0.3">
      <c r="B298" s="276"/>
      <c r="C298" s="276" t="s">
        <v>353</v>
      </c>
      <c r="D298" s="276"/>
      <c r="E298" s="276"/>
      <c r="F298" s="265"/>
      <c r="G298" s="265"/>
      <c r="H298" s="276"/>
      <c r="I298" s="276"/>
      <c r="J298" s="279"/>
    </row>
    <row r="299" spans="2:10" s="279" customFormat="1" x14ac:dyDescent="0.3">
      <c r="C299" s="276" t="s">
        <v>354</v>
      </c>
      <c r="D299" s="276"/>
      <c r="E299" s="276"/>
      <c r="F299" s="276"/>
      <c r="G299" s="276"/>
      <c r="H299" s="276"/>
      <c r="I299" s="276"/>
    </row>
    <row r="300" spans="2:10" s="279" customFormat="1" x14ac:dyDescent="0.3">
      <c r="B300" s="438"/>
      <c r="C300" s="546" t="s">
        <v>355</v>
      </c>
      <c r="D300" s="546"/>
      <c r="E300" s="546"/>
      <c r="F300" s="546"/>
      <c r="G300" s="438"/>
      <c r="H300" s="276"/>
      <c r="I300" s="276"/>
    </row>
    <row r="301" spans="2:10" s="279" customFormat="1" x14ac:dyDescent="0.3">
      <c r="B301" s="438"/>
      <c r="C301" s="276" t="s">
        <v>356</v>
      </c>
      <c r="D301" s="276"/>
      <c r="E301" s="276"/>
      <c r="F301" s="265"/>
      <c r="G301" s="265"/>
      <c r="H301" s="276"/>
      <c r="I301" s="276"/>
    </row>
    <row r="302" spans="2:10" s="279" customFormat="1" x14ac:dyDescent="0.3">
      <c r="B302" s="438"/>
      <c r="C302" s="276" t="s">
        <v>319</v>
      </c>
      <c r="D302" s="276"/>
      <c r="E302" s="276"/>
      <c r="F302" s="276"/>
      <c r="G302" s="276"/>
      <c r="H302" s="276"/>
      <c r="I302" s="276"/>
    </row>
    <row r="303" spans="2:10" s="279" customFormat="1" x14ac:dyDescent="0.3">
      <c r="B303" s="438"/>
      <c r="C303" s="546" t="s">
        <v>357</v>
      </c>
      <c r="D303" s="546"/>
      <c r="E303" s="546"/>
      <c r="F303" s="546"/>
      <c r="G303" s="438"/>
      <c r="H303" s="276"/>
      <c r="I303" s="276"/>
    </row>
    <row r="304" spans="2:10" s="279" customFormat="1" x14ac:dyDescent="0.3">
      <c r="B304" s="438"/>
      <c r="C304" s="276" t="s">
        <v>358</v>
      </c>
      <c r="D304" s="276"/>
      <c r="E304" s="276"/>
      <c r="F304" s="265"/>
      <c r="G304" s="265"/>
      <c r="H304" s="276"/>
      <c r="I304" s="276"/>
    </row>
    <row r="305" spans="2:10" s="279" customFormat="1" x14ac:dyDescent="0.3">
      <c r="B305" s="438"/>
      <c r="C305" s="276" t="s">
        <v>359</v>
      </c>
      <c r="D305" s="276"/>
      <c r="E305" s="276"/>
      <c r="F305" s="276"/>
      <c r="G305" s="276"/>
      <c r="H305" s="276"/>
      <c r="I305" s="276"/>
    </row>
    <row r="306" spans="2:10" s="279" customFormat="1" ht="15" customHeight="1" x14ac:dyDescent="0.3">
      <c r="B306" s="438"/>
      <c r="C306" s="546" t="s">
        <v>360</v>
      </c>
      <c r="D306" s="546"/>
      <c r="E306" s="546"/>
      <c r="F306" s="546"/>
      <c r="G306" s="438"/>
      <c r="H306" s="276"/>
      <c r="I306" s="276"/>
    </row>
    <row r="307" spans="2:10" s="279" customFormat="1" ht="15" customHeight="1" x14ac:dyDescent="0.3">
      <c r="B307" s="438"/>
      <c r="C307" s="439"/>
      <c r="D307" s="439"/>
      <c r="E307" s="439"/>
      <c r="F307" s="439"/>
      <c r="G307" s="438"/>
      <c r="H307" s="276"/>
      <c r="I307" s="276"/>
    </row>
    <row r="309" spans="2:10" x14ac:dyDescent="0.3">
      <c r="C309" s="440" t="s">
        <v>264</v>
      </c>
      <c r="D309" s="440"/>
      <c r="E309" s="440"/>
      <c r="G309" s="265"/>
      <c r="H309" s="265" t="s">
        <v>265</v>
      </c>
      <c r="I309" s="265"/>
    </row>
    <row r="311" spans="2:10" x14ac:dyDescent="0.3">
      <c r="C311" s="265" t="s">
        <v>266</v>
      </c>
    </row>
    <row r="312" spans="2:10" x14ac:dyDescent="0.3">
      <c r="C312" s="266" t="s">
        <v>267</v>
      </c>
      <c r="D312" s="265"/>
      <c r="E312" s="265"/>
      <c r="F312" s="541"/>
      <c r="G312" s="541"/>
      <c r="H312" s="265"/>
      <c r="I312" s="265"/>
    </row>
    <row r="313" spans="2:10" x14ac:dyDescent="0.3">
      <c r="C313" s="265" t="s">
        <v>268</v>
      </c>
      <c r="D313" s="265"/>
      <c r="E313" s="265"/>
      <c r="F313" s="265"/>
      <c r="G313" s="265"/>
      <c r="H313" s="265"/>
      <c r="I313" s="265"/>
      <c r="J313" s="265"/>
    </row>
    <row r="316" spans="2:10" x14ac:dyDescent="0.3">
      <c r="B316" s="276"/>
      <c r="C316" s="276"/>
      <c r="D316" s="276"/>
      <c r="E316" s="276"/>
      <c r="F316" s="276"/>
      <c r="G316" s="276"/>
      <c r="H316" s="367"/>
      <c r="I316" s="367"/>
      <c r="J316" s="367"/>
    </row>
    <row r="317" spans="2:10" x14ac:dyDescent="0.3">
      <c r="C317" s="433" t="s">
        <v>269</v>
      </c>
      <c r="D317" s="433"/>
      <c r="E317" s="276" t="s">
        <v>270</v>
      </c>
      <c r="F317" s="276"/>
      <c r="G317" s="276" t="s">
        <v>271</v>
      </c>
      <c r="H317" s="367"/>
      <c r="I317" s="367"/>
      <c r="J317" s="367"/>
    </row>
    <row r="318" spans="2:10" x14ac:dyDescent="0.3">
      <c r="B318" s="276"/>
      <c r="C318" s="441"/>
      <c r="D318" s="276"/>
      <c r="E318" s="276"/>
      <c r="F318" s="276"/>
      <c r="G318" s="276"/>
      <c r="H318" s="367"/>
      <c r="I318" s="367"/>
      <c r="J318" s="367"/>
    </row>
    <row r="319" spans="2:10" x14ac:dyDescent="0.3">
      <c r="B319" s="442" t="s">
        <v>272</v>
      </c>
      <c r="C319" s="433" t="s">
        <v>273</v>
      </c>
      <c r="D319" s="443"/>
      <c r="E319" s="444"/>
      <c r="F319" s="433"/>
      <c r="G319" s="444"/>
      <c r="H319" s="367"/>
      <c r="I319" s="367"/>
      <c r="J319" s="367"/>
    </row>
    <row r="320" spans="2:10" x14ac:dyDescent="0.3">
      <c r="B320" s="276"/>
      <c r="C320" s="276" t="s">
        <v>274</v>
      </c>
      <c r="D320" s="443"/>
      <c r="E320" s="443">
        <f>E321+E322</f>
        <v>4988.6642119999997</v>
      </c>
      <c r="F320" s="276"/>
      <c r="G320" s="444">
        <f>E320/E337*100</f>
        <v>56.340911091925165</v>
      </c>
      <c r="H320" s="367"/>
      <c r="I320" s="367"/>
      <c r="J320" s="367"/>
    </row>
    <row r="321" spans="2:10" x14ac:dyDescent="0.3">
      <c r="B321" s="445"/>
      <c r="C321" s="276" t="s">
        <v>275</v>
      </c>
      <c r="D321" s="444"/>
      <c r="E321" s="444">
        <f>J58+I102</f>
        <v>3831.5393333333332</v>
      </c>
      <c r="F321" s="276"/>
      <c r="G321" s="276"/>
      <c r="H321" s="367"/>
      <c r="I321" s="367"/>
      <c r="J321" s="367"/>
    </row>
    <row r="322" spans="2:10" x14ac:dyDescent="0.3">
      <c r="B322" s="276"/>
      <c r="C322" s="276" t="s">
        <v>276</v>
      </c>
      <c r="D322" s="444"/>
      <c r="E322" s="444">
        <f>K58+J102</f>
        <v>1157.1248786666665</v>
      </c>
      <c r="F322" s="276"/>
      <c r="G322" s="276"/>
      <c r="H322" s="367"/>
      <c r="I322" s="367"/>
      <c r="J322" s="367"/>
    </row>
    <row r="323" spans="2:10" x14ac:dyDescent="0.3">
      <c r="B323" s="276"/>
      <c r="C323" s="276"/>
      <c r="D323" s="276"/>
      <c r="E323" s="276"/>
      <c r="F323" s="276"/>
      <c r="G323" s="444"/>
      <c r="H323" s="367"/>
      <c r="I323" s="367"/>
      <c r="J323" s="367"/>
    </row>
    <row r="324" spans="2:10" x14ac:dyDescent="0.3">
      <c r="B324" s="442">
        <v>2</v>
      </c>
      <c r="C324" s="433" t="s">
        <v>277</v>
      </c>
      <c r="D324" s="443"/>
      <c r="E324" s="443">
        <f>I176/6</f>
        <v>63.011666666666677</v>
      </c>
      <c r="F324" s="433"/>
      <c r="G324" s="444">
        <f>E324/E337*100</f>
        <v>0.7116403426955471</v>
      </c>
      <c r="H324" s="367"/>
      <c r="I324" s="367"/>
      <c r="J324" s="367"/>
    </row>
    <row r="325" spans="2:10" x14ac:dyDescent="0.3">
      <c r="B325" s="276"/>
      <c r="C325" s="276"/>
      <c r="D325" s="276"/>
      <c r="E325" s="276"/>
      <c r="F325" s="276"/>
      <c r="G325" s="276"/>
      <c r="H325" s="367"/>
      <c r="I325" s="367"/>
      <c r="J325" s="367"/>
    </row>
    <row r="326" spans="2:10" x14ac:dyDescent="0.3">
      <c r="B326" s="442" t="s">
        <v>278</v>
      </c>
      <c r="C326" s="433" t="s">
        <v>279</v>
      </c>
      <c r="D326" s="433"/>
      <c r="E326" s="433"/>
      <c r="F326" s="276"/>
      <c r="G326" s="276"/>
      <c r="H326" s="367"/>
      <c r="I326" s="367"/>
      <c r="J326" s="367"/>
    </row>
    <row r="327" spans="2:10" x14ac:dyDescent="0.3">
      <c r="B327" s="433"/>
      <c r="C327" s="433" t="s">
        <v>280</v>
      </c>
      <c r="D327" s="443"/>
      <c r="E327" s="443"/>
      <c r="F327" s="444"/>
      <c r="G327" s="444"/>
      <c r="H327" s="367"/>
      <c r="I327" s="367"/>
      <c r="J327" s="367"/>
    </row>
    <row r="328" spans="2:10" x14ac:dyDescent="0.3">
      <c r="B328" s="276"/>
      <c r="C328" s="276" t="s">
        <v>274</v>
      </c>
      <c r="D328" s="276"/>
      <c r="E328" s="443">
        <f>(G182+G183+G186+G184)/6</f>
        <v>729.86500000000012</v>
      </c>
      <c r="F328" s="276"/>
      <c r="G328" s="444">
        <f>E328/E337*100</f>
        <v>8.24293985856829</v>
      </c>
      <c r="H328" s="367"/>
      <c r="I328" s="367"/>
      <c r="J328" s="367"/>
    </row>
    <row r="329" spans="2:10" x14ac:dyDescent="0.3">
      <c r="B329" s="276"/>
      <c r="C329" s="276"/>
      <c r="D329" s="276"/>
      <c r="E329" s="276"/>
      <c r="F329" s="276"/>
      <c r="G329" s="276"/>
      <c r="H329" s="367"/>
      <c r="I329" s="367"/>
      <c r="J329" s="367"/>
    </row>
    <row r="330" spans="2:10" x14ac:dyDescent="0.3">
      <c r="B330" s="442">
        <v>5</v>
      </c>
      <c r="C330" s="433" t="s">
        <v>281</v>
      </c>
      <c r="D330" s="276"/>
      <c r="E330" s="443">
        <f>(G185)/6</f>
        <v>55.816666666666663</v>
      </c>
      <c r="F330" s="276"/>
      <c r="G330" s="444">
        <f>E330/E337*100</f>
        <v>0.63038154513380773</v>
      </c>
      <c r="H330" s="367"/>
      <c r="I330" s="367"/>
      <c r="J330" s="367"/>
    </row>
    <row r="331" spans="2:10" x14ac:dyDescent="0.3">
      <c r="B331" s="433"/>
      <c r="C331" s="433"/>
      <c r="D331" s="433"/>
      <c r="E331" s="433"/>
      <c r="F331" s="276"/>
      <c r="G331" s="276"/>
      <c r="H331" s="367"/>
      <c r="I331" s="367"/>
      <c r="J331" s="367"/>
    </row>
    <row r="332" spans="2:10" x14ac:dyDescent="0.3">
      <c r="B332" s="433">
        <v>6</v>
      </c>
      <c r="C332" s="433" t="s">
        <v>282</v>
      </c>
      <c r="D332" s="443"/>
      <c r="E332" s="443">
        <v>0</v>
      </c>
      <c r="F332" s="446"/>
      <c r="G332" s="444">
        <f>E332/E337*100</f>
        <v>0</v>
      </c>
      <c r="H332" s="367"/>
      <c r="I332" s="367"/>
      <c r="J332" s="367"/>
    </row>
    <row r="333" spans="2:10" x14ac:dyDescent="0.3">
      <c r="B333" s="433"/>
      <c r="C333" s="433"/>
      <c r="D333" s="433"/>
      <c r="E333" s="433"/>
      <c r="F333" s="276"/>
      <c r="G333" s="276"/>
      <c r="H333" s="367"/>
      <c r="I333" s="367"/>
      <c r="J333" s="367"/>
    </row>
    <row r="334" spans="2:10" x14ac:dyDescent="0.3">
      <c r="B334" s="433"/>
      <c r="C334" s="433"/>
      <c r="D334" s="433"/>
      <c r="E334" s="433"/>
      <c r="F334" s="276"/>
      <c r="G334" s="276"/>
      <c r="H334" s="367"/>
      <c r="I334" s="367"/>
      <c r="J334" s="367"/>
    </row>
    <row r="335" spans="2:10" x14ac:dyDescent="0.3">
      <c r="B335" s="442">
        <v>7</v>
      </c>
      <c r="C335" s="433" t="s">
        <v>283</v>
      </c>
      <c r="D335" s="443"/>
      <c r="E335" s="443">
        <f>(G72+G187+G85)/6</f>
        <v>3016.2183333333337</v>
      </c>
      <c r="F335" s="444"/>
      <c r="G335" s="444">
        <f>E335/E337*100</f>
        <v>34.064527442715772</v>
      </c>
      <c r="H335" s="367"/>
      <c r="I335" s="367"/>
      <c r="J335" s="367"/>
    </row>
    <row r="336" spans="2:10" x14ac:dyDescent="0.3">
      <c r="B336" s="276"/>
      <c r="C336" s="276"/>
      <c r="D336" s="276"/>
      <c r="E336" s="276"/>
      <c r="F336" s="276"/>
      <c r="G336" s="276"/>
      <c r="H336" s="367"/>
      <c r="I336" s="367"/>
      <c r="J336" s="367"/>
    </row>
    <row r="337" spans="2:10" x14ac:dyDescent="0.3">
      <c r="B337" s="276"/>
      <c r="C337" s="447" t="s">
        <v>284</v>
      </c>
      <c r="D337" s="444"/>
      <c r="E337" s="448">
        <f>E320+E324+E328+E330+E335+0.85</f>
        <v>8854.4258786666669</v>
      </c>
      <c r="F337" s="449"/>
      <c r="G337" s="444">
        <f>G320+G324+G328+G330+G332+G335</f>
        <v>99.990400281038575</v>
      </c>
      <c r="H337" s="367"/>
      <c r="I337" s="367"/>
      <c r="J337" s="367"/>
    </row>
    <row r="338" spans="2:10" x14ac:dyDescent="0.3">
      <c r="B338" s="276"/>
      <c r="C338" s="276"/>
      <c r="D338" s="276"/>
      <c r="E338" s="276"/>
      <c r="F338" s="276"/>
      <c r="G338" s="276"/>
      <c r="H338" s="367"/>
      <c r="I338" s="367"/>
      <c r="J338" s="367"/>
    </row>
    <row r="339" spans="2:10" x14ac:dyDescent="0.3">
      <c r="B339" s="276"/>
      <c r="C339" s="276"/>
      <c r="D339" s="276" t="s">
        <v>285</v>
      </c>
      <c r="E339" s="444">
        <f>D277/6</f>
        <v>8854.4254855330273</v>
      </c>
      <c r="F339" s="276"/>
      <c r="G339" s="444"/>
      <c r="H339" s="367"/>
      <c r="I339" s="367"/>
      <c r="J339" s="367"/>
    </row>
  </sheetData>
  <mergeCells count="153">
    <mergeCell ref="C296:F296"/>
    <mergeCell ref="C300:F300"/>
    <mergeCell ref="F312:G312"/>
    <mergeCell ref="C156:G156"/>
    <mergeCell ref="C157:G157"/>
    <mergeCell ref="G158:H158"/>
    <mergeCell ref="B167:F167"/>
    <mergeCell ref="C169:I169"/>
    <mergeCell ref="C303:F303"/>
    <mergeCell ref="C306:F306"/>
    <mergeCell ref="C115:E115"/>
    <mergeCell ref="F115:G115"/>
    <mergeCell ref="C117:E117"/>
    <mergeCell ref="C137:G137"/>
    <mergeCell ref="C138:H138"/>
    <mergeCell ref="C155:F155"/>
    <mergeCell ref="B88:G88"/>
    <mergeCell ref="C90:F90"/>
    <mergeCell ref="C92:F92"/>
    <mergeCell ref="B93:H93"/>
    <mergeCell ref="C104:G104"/>
    <mergeCell ref="C107:I107"/>
    <mergeCell ref="H56:H57"/>
    <mergeCell ref="I56:I57"/>
    <mergeCell ref="J56:J57"/>
    <mergeCell ref="K56:K57"/>
    <mergeCell ref="L56:L57"/>
    <mergeCell ref="M56:M57"/>
    <mergeCell ref="I54:I55"/>
    <mergeCell ref="J54:J55"/>
    <mergeCell ref="K54:K55"/>
    <mergeCell ref="L54:L55"/>
    <mergeCell ref="M54:M55"/>
    <mergeCell ref="H54:H55"/>
    <mergeCell ref="B56:B57"/>
    <mergeCell ref="D56:D57"/>
    <mergeCell ref="E56:E57"/>
    <mergeCell ref="F56:F57"/>
    <mergeCell ref="G56:G57"/>
    <mergeCell ref="B54:B55"/>
    <mergeCell ref="D54:D55"/>
    <mergeCell ref="E54:E55"/>
    <mergeCell ref="F54:F55"/>
    <mergeCell ref="G54:G55"/>
    <mergeCell ref="I52:I53"/>
    <mergeCell ref="J52:J53"/>
    <mergeCell ref="K52:K53"/>
    <mergeCell ref="L52:L53"/>
    <mergeCell ref="M52:M53"/>
    <mergeCell ref="I50:I51"/>
    <mergeCell ref="J50:J51"/>
    <mergeCell ref="K50:K51"/>
    <mergeCell ref="L50:L51"/>
    <mergeCell ref="M50:M51"/>
    <mergeCell ref="H46:H47"/>
    <mergeCell ref="B52:B53"/>
    <mergeCell ref="D52:D53"/>
    <mergeCell ref="E52:E53"/>
    <mergeCell ref="F52:F53"/>
    <mergeCell ref="G52:G53"/>
    <mergeCell ref="B50:B51"/>
    <mergeCell ref="D50:D51"/>
    <mergeCell ref="E50:E51"/>
    <mergeCell ref="F50:F51"/>
    <mergeCell ref="G50:G51"/>
    <mergeCell ref="H52:H53"/>
    <mergeCell ref="H50:H51"/>
    <mergeCell ref="L42:L43"/>
    <mergeCell ref="M42:M43"/>
    <mergeCell ref="H42:H43"/>
    <mergeCell ref="B48:B49"/>
    <mergeCell ref="D48:D49"/>
    <mergeCell ref="E48:E49"/>
    <mergeCell ref="F48:F49"/>
    <mergeCell ref="G48:G49"/>
    <mergeCell ref="B46:B47"/>
    <mergeCell ref="D46:D47"/>
    <mergeCell ref="E46:E47"/>
    <mergeCell ref="F46:F47"/>
    <mergeCell ref="G46:G47"/>
    <mergeCell ref="H48:H49"/>
    <mergeCell ref="I48:I49"/>
    <mergeCell ref="J48:J49"/>
    <mergeCell ref="K48:K49"/>
    <mergeCell ref="L48:L49"/>
    <mergeCell ref="M48:M49"/>
    <mergeCell ref="I46:I47"/>
    <mergeCell ref="J46:J47"/>
    <mergeCell ref="K46:K47"/>
    <mergeCell ref="L46:L47"/>
    <mergeCell ref="M46:M47"/>
    <mergeCell ref="J38:J39"/>
    <mergeCell ref="K38:K39"/>
    <mergeCell ref="L38:L39"/>
    <mergeCell ref="M38:M39"/>
    <mergeCell ref="H38:H39"/>
    <mergeCell ref="B44:B45"/>
    <mergeCell ref="D44:D45"/>
    <mergeCell ref="E44:E45"/>
    <mergeCell ref="F44:F45"/>
    <mergeCell ref="G44:G45"/>
    <mergeCell ref="B42:B43"/>
    <mergeCell ref="D42:D43"/>
    <mergeCell ref="E42:E43"/>
    <mergeCell ref="F42:F43"/>
    <mergeCell ref="G42:G43"/>
    <mergeCell ref="H44:H45"/>
    <mergeCell ref="I44:I45"/>
    <mergeCell ref="J44:J45"/>
    <mergeCell ref="K44:K45"/>
    <mergeCell ref="L44:L45"/>
    <mergeCell ref="M44:M45"/>
    <mergeCell ref="I42:I43"/>
    <mergeCell ref="J42:J43"/>
    <mergeCell ref="K42:K43"/>
    <mergeCell ref="K36:K37"/>
    <mergeCell ref="L36:L37"/>
    <mergeCell ref="M36:M37"/>
    <mergeCell ref="C28:D28"/>
    <mergeCell ref="C29:E29"/>
    <mergeCell ref="C30:G30"/>
    <mergeCell ref="C31:E31"/>
    <mergeCell ref="B40:B41"/>
    <mergeCell ref="D40:D41"/>
    <mergeCell ref="E40:E41"/>
    <mergeCell ref="F40:F41"/>
    <mergeCell ref="G40:G41"/>
    <mergeCell ref="B38:B39"/>
    <mergeCell ref="D38:D39"/>
    <mergeCell ref="E38:E39"/>
    <mergeCell ref="F38:F39"/>
    <mergeCell ref="G38:G39"/>
    <mergeCell ref="H40:H41"/>
    <mergeCell ref="I40:I41"/>
    <mergeCell ref="J40:J41"/>
    <mergeCell ref="K40:K41"/>
    <mergeCell ref="L40:L41"/>
    <mergeCell ref="M40:M41"/>
    <mergeCell ref="I38:I39"/>
    <mergeCell ref="B36:B37"/>
    <mergeCell ref="D36:D37"/>
    <mergeCell ref="E36:E37"/>
    <mergeCell ref="F36:F37"/>
    <mergeCell ref="G36:G37"/>
    <mergeCell ref="B2:F2"/>
    <mergeCell ref="C3:E3"/>
    <mergeCell ref="C14:G14"/>
    <mergeCell ref="C15:G15"/>
    <mergeCell ref="C25:J25"/>
    <mergeCell ref="C27:H27"/>
    <mergeCell ref="H36:H37"/>
    <mergeCell ref="I36:I37"/>
    <mergeCell ref="J36:J37"/>
  </mergeCells>
  <pageMargins left="0.25" right="0.25" top="0.75" bottom="0.75" header="0.3" footer="0.3"/>
  <pageSetup paperSize="9" scale="55" orientation="landscape" r:id="rId1"/>
  <rowBreaks count="11" manualBreakCount="11">
    <brk id="31" max="11" man="1"/>
    <brk id="58" max="16383" man="1"/>
    <brk id="85" max="11" man="1"/>
    <brk id="111" max="11" man="1"/>
    <brk id="147" max="11" man="1"/>
    <brk id="176" max="16383" man="1"/>
    <brk id="220" max="11" man="1"/>
    <brk id="246" max="11" man="1"/>
    <brk id="293" max="11" man="1"/>
    <brk id="313" max="11" man="1"/>
    <brk id="345" min="1" max="13" man="1"/>
  </rowBreaks>
  <colBreaks count="1" manualBreakCount="1">
    <brk id="12" max="3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8"/>
  <sheetViews>
    <sheetView view="pageBreakPreview" zoomScale="60" zoomScaleNormal="100" workbookViewId="0">
      <selection activeCell="R41" sqref="R41"/>
    </sheetView>
  </sheetViews>
  <sheetFormatPr defaultRowHeight="15" x14ac:dyDescent="0.25"/>
  <cols>
    <col min="2" max="2" width="18.140625" customWidth="1"/>
    <col min="3" max="3" width="19.7109375" customWidth="1"/>
    <col min="4" max="4" width="10.7109375" customWidth="1"/>
    <col min="6" max="6" width="12.28515625" customWidth="1"/>
    <col min="8" max="8" width="12.85546875" customWidth="1"/>
  </cols>
  <sheetData>
    <row r="2" spans="2:12" ht="15.75" x14ac:dyDescent="0.25">
      <c r="D2" s="7"/>
      <c r="E2" s="8"/>
      <c r="F2" s="549" t="s">
        <v>321</v>
      </c>
      <c r="G2" s="549"/>
    </row>
    <row r="3" spans="2:12" ht="23.25" customHeight="1" x14ac:dyDescent="0.25">
      <c r="D3" s="7"/>
      <c r="E3" s="8"/>
      <c r="F3" s="9" t="s">
        <v>264</v>
      </c>
      <c r="G3" s="9"/>
    </row>
    <row r="4" spans="2:12" ht="21" customHeight="1" x14ac:dyDescent="0.25">
      <c r="D4" s="10"/>
      <c r="E4" s="8"/>
      <c r="H4" s="11" t="s">
        <v>322</v>
      </c>
    </row>
    <row r="5" spans="2:12" ht="15.75" x14ac:dyDescent="0.25">
      <c r="D5" s="1"/>
      <c r="E5" s="1"/>
      <c r="F5" s="550" t="s">
        <v>323</v>
      </c>
      <c r="G5" s="550"/>
      <c r="H5" s="550"/>
      <c r="I5" s="550"/>
      <c r="J5" s="550"/>
    </row>
    <row r="6" spans="2:12" x14ac:dyDescent="0.25">
      <c r="D6" s="1"/>
      <c r="E6" s="1"/>
      <c r="F6" s="1"/>
      <c r="G6" s="12"/>
      <c r="H6" s="13"/>
      <c r="I6" s="12"/>
      <c r="J6" s="12"/>
    </row>
    <row r="7" spans="2:12" ht="18.75" x14ac:dyDescent="0.3">
      <c r="B7" s="5"/>
      <c r="C7" s="5"/>
      <c r="D7" s="14"/>
      <c r="E7" s="551" t="s">
        <v>324</v>
      </c>
      <c r="F7" s="551"/>
      <c r="G7" s="551"/>
      <c r="H7" s="15"/>
      <c r="I7" s="15"/>
      <c r="J7" s="15"/>
    </row>
    <row r="8" spans="2:12" ht="18.75" x14ac:dyDescent="0.3">
      <c r="B8" s="552" t="s">
        <v>325</v>
      </c>
      <c r="C8" s="552"/>
      <c r="D8" s="552"/>
      <c r="E8" s="552"/>
      <c r="F8" s="552"/>
      <c r="G8" s="552"/>
      <c r="H8" s="552"/>
      <c r="I8" s="552"/>
      <c r="J8" s="552"/>
    </row>
    <row r="9" spans="2:12" ht="18.75" x14ac:dyDescent="0.3">
      <c r="B9" s="5"/>
      <c r="C9" s="5"/>
      <c r="D9" s="552"/>
      <c r="E9" s="552"/>
      <c r="F9" s="552"/>
      <c r="G9" s="15"/>
      <c r="H9" s="15"/>
      <c r="I9" s="15"/>
      <c r="J9" s="15"/>
    </row>
    <row r="10" spans="2:12" ht="41.25" customHeight="1" x14ac:dyDescent="0.3">
      <c r="B10" s="548" t="s">
        <v>326</v>
      </c>
      <c r="C10" s="548"/>
      <c r="D10" s="548"/>
      <c r="E10" s="548"/>
      <c r="F10" s="548"/>
      <c r="G10" s="548"/>
      <c r="H10" s="548"/>
      <c r="I10" s="548"/>
      <c r="J10" s="16"/>
    </row>
    <row r="11" spans="2:12" ht="18.75" x14ac:dyDescent="0.3">
      <c r="B11" s="17"/>
      <c r="C11" s="18"/>
      <c r="D11" s="19"/>
      <c r="E11" s="19"/>
      <c r="F11" s="19"/>
      <c r="G11" s="20"/>
      <c r="H11" s="20"/>
      <c r="I11" s="19"/>
      <c r="J11" s="19"/>
    </row>
    <row r="12" spans="2:12" ht="18.75" x14ac:dyDescent="0.3">
      <c r="B12" s="21" t="s">
        <v>327</v>
      </c>
      <c r="C12" s="22"/>
      <c r="D12" s="23" t="s">
        <v>328</v>
      </c>
      <c r="E12" s="24" t="s">
        <v>329</v>
      </c>
      <c r="F12" s="25" t="s">
        <v>330</v>
      </c>
      <c r="G12" s="26"/>
      <c r="H12" s="27"/>
      <c r="I12" s="28"/>
      <c r="J12" s="29"/>
    </row>
    <row r="13" spans="2:12" ht="15.75" x14ac:dyDescent="0.25">
      <c r="B13" s="17"/>
      <c r="C13" s="17"/>
      <c r="D13" s="30"/>
      <c r="E13" s="29"/>
      <c r="F13" s="29"/>
      <c r="G13" s="31"/>
      <c r="H13" s="29"/>
      <c r="I13" s="29"/>
      <c r="J13" s="29"/>
      <c r="L13" s="32"/>
    </row>
    <row r="14" spans="2:12" ht="18.75" x14ac:dyDescent="0.3">
      <c r="B14" s="28" t="s">
        <v>331</v>
      </c>
      <c r="C14" s="17"/>
      <c r="D14" s="33">
        <v>20</v>
      </c>
      <c r="E14" s="33" t="s">
        <v>247</v>
      </c>
      <c r="F14" s="33"/>
      <c r="G14" s="33"/>
      <c r="H14" s="33"/>
      <c r="I14" s="34"/>
      <c r="J14" s="35"/>
    </row>
    <row r="15" spans="2:12" ht="18.75" x14ac:dyDescent="0.3">
      <c r="B15" s="28" t="s">
        <v>332</v>
      </c>
      <c r="C15" s="17"/>
      <c r="D15" s="36">
        <v>1300</v>
      </c>
      <c r="E15" s="33" t="s">
        <v>257</v>
      </c>
      <c r="F15" s="29"/>
      <c r="G15" s="37"/>
      <c r="H15" s="29"/>
      <c r="I15" s="19"/>
      <c r="J15" s="19"/>
    </row>
    <row r="16" spans="2:12" ht="18.75" x14ac:dyDescent="0.3">
      <c r="B16" s="28" t="s">
        <v>333</v>
      </c>
      <c r="C16" s="17"/>
      <c r="D16" s="38" t="s">
        <v>362</v>
      </c>
      <c r="E16" s="38"/>
      <c r="G16" s="38"/>
      <c r="H16" s="38"/>
      <c r="I16" s="39"/>
      <c r="J16" s="40"/>
    </row>
    <row r="17" spans="2:10" ht="18.75" x14ac:dyDescent="0.3">
      <c r="B17" s="28"/>
      <c r="C17" s="17"/>
      <c r="D17" s="17"/>
      <c r="E17" s="28" t="s">
        <v>334</v>
      </c>
      <c r="G17" s="17"/>
      <c r="H17" s="17"/>
      <c r="I17" s="17"/>
      <c r="J17" s="17"/>
    </row>
    <row r="18" spans="2:10" ht="18.75" x14ac:dyDescent="0.3">
      <c r="B18" s="41"/>
      <c r="C18" s="17"/>
      <c r="D18" s="42"/>
      <c r="E18" s="17"/>
      <c r="F18" s="17"/>
      <c r="G18" s="17"/>
      <c r="H18" s="17"/>
      <c r="I18" s="17"/>
      <c r="J18" s="17"/>
    </row>
    <row r="19" spans="2:10" ht="18.75" x14ac:dyDescent="0.3">
      <c r="B19" s="22" t="s">
        <v>335</v>
      </c>
      <c r="C19" s="17"/>
      <c r="D19" s="23" t="s">
        <v>336</v>
      </c>
      <c r="E19" s="24" t="s">
        <v>329</v>
      </c>
      <c r="F19" s="25" t="s">
        <v>337</v>
      </c>
      <c r="G19" s="28"/>
      <c r="H19" s="19"/>
      <c r="I19" s="19"/>
      <c r="J19" s="17"/>
    </row>
    <row r="20" spans="2:10" x14ac:dyDescent="0.25">
      <c r="B20" s="5"/>
      <c r="C20" s="5"/>
      <c r="D20" s="6"/>
      <c r="E20" s="6"/>
      <c r="F20" s="6"/>
      <c r="G20" s="43"/>
      <c r="H20" s="44"/>
      <c r="I20" s="43"/>
      <c r="J20" s="5"/>
    </row>
    <row r="21" spans="2:10" ht="19.5" x14ac:dyDescent="0.35">
      <c r="B21" s="45" t="s">
        <v>338</v>
      </c>
      <c r="C21" s="46"/>
      <c r="D21" s="6"/>
      <c r="E21" s="6"/>
      <c r="F21" s="47" t="s">
        <v>339</v>
      </c>
      <c r="G21" s="48"/>
      <c r="H21" s="48" t="s">
        <v>340</v>
      </c>
      <c r="I21" s="43"/>
      <c r="J21" s="5"/>
    </row>
    <row r="22" spans="2:10" ht="18.75" x14ac:dyDescent="0.3">
      <c r="B22" s="49" t="s">
        <v>341</v>
      </c>
      <c r="C22" s="5"/>
      <c r="D22" s="14"/>
      <c r="E22" s="15"/>
      <c r="F22" s="50">
        <v>158.26</v>
      </c>
      <c r="G22" s="30"/>
      <c r="H22" s="50">
        <f>F22*6</f>
        <v>949.56</v>
      </c>
      <c r="I22" s="15"/>
      <c r="J22" s="5"/>
    </row>
    <row r="23" spans="2:10" ht="15.75" x14ac:dyDescent="0.25">
      <c r="B23" s="51"/>
      <c r="C23" s="5"/>
      <c r="D23" s="52"/>
      <c r="E23" s="53"/>
      <c r="F23" s="30"/>
      <c r="G23" s="30"/>
      <c r="H23" s="50"/>
      <c r="I23" s="53"/>
      <c r="J23" s="5"/>
    </row>
    <row r="24" spans="2:10" ht="18.75" x14ac:dyDescent="0.3">
      <c r="B24" s="49" t="s">
        <v>342</v>
      </c>
      <c r="C24" s="51"/>
      <c r="D24" s="15"/>
      <c r="E24" s="15"/>
      <c r="F24" s="50">
        <v>14972.73</v>
      </c>
      <c r="G24" s="30"/>
      <c r="H24" s="50">
        <f>F24*6</f>
        <v>89836.38</v>
      </c>
      <c r="I24" s="15"/>
      <c r="J24" s="5"/>
    </row>
    <row r="25" spans="2:10" ht="15.75" x14ac:dyDescent="0.25">
      <c r="B25" s="54"/>
      <c r="C25" s="54"/>
      <c r="D25" s="55"/>
      <c r="E25" s="55"/>
      <c r="F25" s="56"/>
      <c r="G25" s="30"/>
      <c r="H25" s="50"/>
      <c r="I25" s="15"/>
      <c r="J25" s="5"/>
    </row>
    <row r="26" spans="2:10" ht="18.75" x14ac:dyDescent="0.3">
      <c r="B26" s="28" t="s">
        <v>343</v>
      </c>
      <c r="C26" s="54"/>
      <c r="D26" s="55"/>
      <c r="E26" s="55"/>
      <c r="F26" s="57">
        <v>5890.85</v>
      </c>
      <c r="G26" s="30"/>
      <c r="H26" s="50">
        <f>F26*6</f>
        <v>35345.100000000006</v>
      </c>
      <c r="I26" s="43"/>
      <c r="J26" s="5"/>
    </row>
    <row r="27" spans="2:10" ht="15.75" x14ac:dyDescent="0.25">
      <c r="B27" s="51"/>
      <c r="C27" s="54"/>
      <c r="D27" s="55"/>
      <c r="E27" s="55"/>
      <c r="F27" s="56"/>
      <c r="G27" s="30"/>
      <c r="H27" s="50"/>
      <c r="I27" s="43"/>
      <c r="J27" s="5"/>
    </row>
    <row r="28" spans="2:10" ht="18.75" x14ac:dyDescent="0.3">
      <c r="B28" s="28" t="s">
        <v>344</v>
      </c>
      <c r="C28" s="54"/>
      <c r="D28" s="6"/>
      <c r="E28" s="6"/>
      <c r="F28" s="58">
        <v>55.82</v>
      </c>
      <c r="G28" s="30"/>
      <c r="H28" s="50">
        <f>F28*6</f>
        <v>334.92</v>
      </c>
      <c r="I28" s="43"/>
      <c r="J28" s="5"/>
    </row>
    <row r="29" spans="2:10" ht="15.75" x14ac:dyDescent="0.25">
      <c r="B29" s="59"/>
      <c r="C29" s="54"/>
      <c r="D29" s="55"/>
      <c r="E29" s="55"/>
      <c r="F29" s="30"/>
      <c r="G29" s="30"/>
      <c r="H29" s="50"/>
      <c r="I29" s="60"/>
      <c r="J29" s="5"/>
    </row>
    <row r="30" spans="2:10" ht="18.75" x14ac:dyDescent="0.3">
      <c r="B30" s="49" t="s">
        <v>345</v>
      </c>
      <c r="C30" s="54"/>
      <c r="D30" s="55"/>
      <c r="E30" s="55"/>
      <c r="F30" s="57" t="e">
        <f>#REF!/139</f>
        <v>#REF!</v>
      </c>
      <c r="G30" s="30"/>
      <c r="H30" s="50" t="e">
        <f t="shared" ref="H30" si="0">F30*3</f>
        <v>#REF!</v>
      </c>
      <c r="I30" s="15"/>
      <c r="J30" s="5"/>
    </row>
    <row r="31" spans="2:10" ht="15.75" x14ac:dyDescent="0.25">
      <c r="B31" s="54"/>
      <c r="C31" s="54"/>
      <c r="D31" s="55"/>
      <c r="E31" s="55"/>
      <c r="F31" s="56"/>
      <c r="G31" s="30"/>
      <c r="H31" s="50"/>
      <c r="I31" s="53"/>
      <c r="J31" s="5"/>
    </row>
    <row r="32" spans="2:10" ht="18.75" x14ac:dyDescent="0.3">
      <c r="B32" s="49" t="s">
        <v>346</v>
      </c>
      <c r="C32" s="51"/>
      <c r="D32" s="14"/>
      <c r="E32" s="43"/>
      <c r="F32" s="50">
        <f>4921.48+0.86</f>
        <v>4922.3399999999992</v>
      </c>
      <c r="G32" s="30"/>
      <c r="H32" s="50">
        <f>F32*6</f>
        <v>29534.039999999994</v>
      </c>
      <c r="I32" s="15"/>
      <c r="J32" s="5"/>
    </row>
    <row r="33" spans="2:10" ht="15.75" x14ac:dyDescent="0.25">
      <c r="B33" s="5"/>
      <c r="C33" s="51"/>
      <c r="D33" s="14"/>
      <c r="E33" s="43"/>
      <c r="F33" s="50"/>
      <c r="G33" s="30"/>
      <c r="H33" s="61"/>
      <c r="I33" s="15"/>
      <c r="J33" s="5"/>
    </row>
    <row r="34" spans="2:10" ht="19.5" x14ac:dyDescent="0.35">
      <c r="B34" s="62" t="s">
        <v>61</v>
      </c>
      <c r="C34" s="51"/>
      <c r="D34" s="15"/>
      <c r="E34" s="15"/>
      <c r="F34" s="63" t="e">
        <f>F22+F24+F26+F28+F30+F32</f>
        <v>#REF!</v>
      </c>
      <c r="G34" s="64"/>
      <c r="H34" s="63" t="e">
        <f>H22+H24+H26+H28+H30+H32</f>
        <v>#REF!</v>
      </c>
      <c r="I34" s="15"/>
      <c r="J34" s="5"/>
    </row>
    <row r="36" spans="2:10" x14ac:dyDescent="0.25">
      <c r="B36" t="s">
        <v>347</v>
      </c>
    </row>
    <row r="37" spans="2:10" x14ac:dyDescent="0.25">
      <c r="B37" t="s">
        <v>267</v>
      </c>
    </row>
    <row r="38" spans="2:10" x14ac:dyDescent="0.25">
      <c r="B38" t="s">
        <v>268</v>
      </c>
    </row>
  </sheetData>
  <mergeCells count="6">
    <mergeCell ref="B10:I10"/>
    <mergeCell ref="F2:G2"/>
    <mergeCell ref="F5:J5"/>
    <mergeCell ref="E7:G7"/>
    <mergeCell ref="B8:J8"/>
    <mergeCell ref="D9:F9"/>
  </mergeCells>
  <pageMargins left="0.7" right="0.7" top="0.75" bottom="0.75" header="0.3" footer="0.3"/>
  <pageSetup paperSize="9" scale="79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7"/>
  <sheetViews>
    <sheetView view="pageBreakPreview" topLeftCell="A10" zoomScale="60" zoomScaleNormal="100" workbookViewId="0">
      <selection activeCell="Q28" sqref="Q28"/>
    </sheetView>
  </sheetViews>
  <sheetFormatPr defaultRowHeight="15" x14ac:dyDescent="0.25"/>
  <cols>
    <col min="2" max="2" width="12.42578125" customWidth="1"/>
    <col min="4" max="4" width="14.28515625" customWidth="1"/>
    <col min="5" max="5" width="9.140625" customWidth="1"/>
    <col min="6" max="6" width="13.28515625" customWidth="1"/>
    <col min="7" max="7" width="8" customWidth="1"/>
    <col min="8" max="8" width="12" customWidth="1"/>
    <col min="10" max="10" width="5.28515625" customWidth="1"/>
  </cols>
  <sheetData>
    <row r="2" spans="2:10" ht="15.75" x14ac:dyDescent="0.25">
      <c r="D2" s="7"/>
      <c r="E2" s="8"/>
      <c r="F2" s="549" t="s">
        <v>321</v>
      </c>
      <c r="G2" s="549"/>
    </row>
    <row r="3" spans="2:10" ht="20.25" customHeight="1" x14ac:dyDescent="0.25">
      <c r="D3" s="7"/>
      <c r="E3" s="8"/>
      <c r="F3" s="9" t="s">
        <v>264</v>
      </c>
      <c r="G3" s="9"/>
    </row>
    <row r="4" spans="2:10" ht="19.5" customHeight="1" x14ac:dyDescent="0.25">
      <c r="D4" s="10"/>
      <c r="E4" s="8"/>
      <c r="H4" s="11" t="s">
        <v>322</v>
      </c>
    </row>
    <row r="5" spans="2:10" ht="18.75" customHeight="1" x14ac:dyDescent="0.25">
      <c r="D5" s="1"/>
      <c r="E5" s="1"/>
      <c r="F5" s="550" t="s">
        <v>323</v>
      </c>
      <c r="G5" s="550"/>
      <c r="H5" s="550"/>
      <c r="I5" s="550"/>
      <c r="J5" s="550"/>
    </row>
    <row r="6" spans="2:10" x14ac:dyDescent="0.25">
      <c r="D6" s="1"/>
      <c r="E6" s="1"/>
      <c r="F6" s="1"/>
      <c r="G6" s="12"/>
      <c r="H6" s="13"/>
      <c r="I6" s="12"/>
      <c r="J6" s="12"/>
    </row>
    <row r="7" spans="2:10" ht="18.75" x14ac:dyDescent="0.3">
      <c r="B7" s="5"/>
      <c r="C7" s="5"/>
      <c r="D7" s="14"/>
      <c r="E7" s="551" t="s">
        <v>324</v>
      </c>
      <c r="F7" s="551"/>
      <c r="G7" s="551"/>
      <c r="H7" s="15"/>
      <c r="I7" s="15"/>
      <c r="J7" s="15"/>
    </row>
    <row r="8" spans="2:10" ht="18.75" x14ac:dyDescent="0.3">
      <c r="B8" s="552" t="s">
        <v>325</v>
      </c>
      <c r="C8" s="552"/>
      <c r="D8" s="552"/>
      <c r="E8" s="552"/>
      <c r="F8" s="552"/>
      <c r="G8" s="552"/>
      <c r="H8" s="552"/>
      <c r="I8" s="552"/>
      <c r="J8" s="552"/>
    </row>
    <row r="9" spans="2:10" ht="18.75" x14ac:dyDescent="0.3">
      <c r="B9" s="5"/>
      <c r="C9" s="5"/>
      <c r="D9" s="552"/>
      <c r="E9" s="552"/>
      <c r="F9" s="552"/>
      <c r="G9" s="15"/>
      <c r="H9" s="15"/>
      <c r="I9" s="15"/>
      <c r="J9" s="15"/>
    </row>
    <row r="10" spans="2:10" ht="18.75" x14ac:dyDescent="0.3">
      <c r="B10" s="554" t="s">
        <v>348</v>
      </c>
      <c r="C10" s="554"/>
      <c r="D10" s="554"/>
      <c r="E10" s="554"/>
      <c r="F10" s="554"/>
      <c r="G10" s="554"/>
      <c r="H10" s="554"/>
      <c r="I10" s="554"/>
      <c r="J10" s="554"/>
    </row>
    <row r="11" spans="2:10" ht="18.75" x14ac:dyDescent="0.3">
      <c r="B11" s="16"/>
      <c r="C11" s="16"/>
      <c r="D11" s="16"/>
      <c r="E11" s="16"/>
      <c r="F11" s="16"/>
      <c r="G11" s="16"/>
      <c r="H11" s="16"/>
      <c r="I11" s="16"/>
      <c r="J11" s="16"/>
    </row>
    <row r="12" spans="2:10" ht="18.75" x14ac:dyDescent="0.3">
      <c r="B12" s="17"/>
      <c r="C12" s="18"/>
      <c r="D12" s="19"/>
      <c r="E12" s="19"/>
      <c r="F12" s="19"/>
      <c r="G12" s="20"/>
      <c r="H12" s="20"/>
      <c r="I12" s="19"/>
      <c r="J12" s="19"/>
    </row>
    <row r="13" spans="2:10" ht="18.75" x14ac:dyDescent="0.3">
      <c r="B13" s="21" t="s">
        <v>327</v>
      </c>
      <c r="C13" s="22"/>
      <c r="D13" s="23" t="s">
        <v>349</v>
      </c>
      <c r="E13" s="24" t="s">
        <v>329</v>
      </c>
      <c r="F13" s="25" t="s">
        <v>350</v>
      </c>
      <c r="G13" s="26"/>
      <c r="H13" s="27"/>
      <c r="I13" s="28"/>
      <c r="J13" s="29"/>
    </row>
    <row r="14" spans="2:10" ht="15.75" x14ac:dyDescent="0.25">
      <c r="B14" s="17"/>
      <c r="C14" s="17"/>
      <c r="D14" s="30"/>
      <c r="E14" s="29"/>
      <c r="F14" s="29"/>
      <c r="G14" s="31"/>
      <c r="H14" s="29"/>
      <c r="I14" s="29"/>
      <c r="J14" s="29"/>
    </row>
    <row r="15" spans="2:10" ht="18.75" x14ac:dyDescent="0.3">
      <c r="B15" s="28" t="s">
        <v>331</v>
      </c>
      <c r="C15" s="17"/>
      <c r="D15" s="33">
        <v>20</v>
      </c>
      <c r="E15" s="33" t="s">
        <v>247</v>
      </c>
      <c r="F15" s="33"/>
      <c r="G15" s="33"/>
      <c r="H15" s="33"/>
      <c r="I15" s="34"/>
      <c r="J15" s="35"/>
    </row>
    <row r="16" spans="2:10" ht="18.75" x14ac:dyDescent="0.3">
      <c r="B16" s="28" t="s">
        <v>332</v>
      </c>
      <c r="C16" s="17"/>
      <c r="D16" s="36">
        <v>443</v>
      </c>
      <c r="E16" s="33" t="s">
        <v>257</v>
      </c>
      <c r="F16" s="29"/>
      <c r="G16" s="37"/>
      <c r="H16" s="29"/>
      <c r="I16" s="19"/>
      <c r="J16" s="19"/>
    </row>
    <row r="17" spans="2:10" ht="18.75" x14ac:dyDescent="0.3">
      <c r="B17" s="28" t="s">
        <v>333</v>
      </c>
      <c r="C17" s="17"/>
      <c r="D17" s="553" t="s">
        <v>361</v>
      </c>
      <c r="E17" s="553"/>
      <c r="F17" s="553"/>
      <c r="G17" s="553"/>
      <c r="H17" s="553"/>
      <c r="I17" s="553"/>
      <c r="J17" s="553"/>
    </row>
    <row r="18" spans="2:10" ht="18.75" x14ac:dyDescent="0.3">
      <c r="B18" s="28"/>
      <c r="C18" s="17"/>
      <c r="D18" s="17"/>
      <c r="E18" s="17"/>
      <c r="F18" s="28" t="s">
        <v>334</v>
      </c>
      <c r="G18" s="17"/>
      <c r="H18" s="17"/>
      <c r="I18" s="17"/>
      <c r="J18" s="17"/>
    </row>
    <row r="19" spans="2:10" ht="18.75" x14ac:dyDescent="0.3">
      <c r="B19" s="41"/>
      <c r="C19" s="17"/>
      <c r="D19" s="42"/>
      <c r="E19" s="17"/>
      <c r="F19" s="17"/>
      <c r="G19" s="17"/>
      <c r="H19" s="17"/>
      <c r="I19" s="17"/>
      <c r="J19" s="17"/>
    </row>
    <row r="20" spans="2:10" ht="18.75" x14ac:dyDescent="0.3">
      <c r="B20" s="22" t="s">
        <v>335</v>
      </c>
      <c r="C20" s="17"/>
      <c r="D20" s="23">
        <v>8860</v>
      </c>
      <c r="E20" s="24" t="s">
        <v>329</v>
      </c>
      <c r="F20" s="25" t="s">
        <v>351</v>
      </c>
      <c r="G20" s="28"/>
      <c r="H20" s="19"/>
      <c r="I20" s="19"/>
      <c r="J20" s="17"/>
    </row>
    <row r="21" spans="2:10" x14ac:dyDescent="0.25">
      <c r="B21" s="5"/>
      <c r="C21" s="5"/>
      <c r="D21" s="6"/>
      <c r="E21" s="6"/>
      <c r="F21" s="6"/>
      <c r="G21" s="43"/>
      <c r="H21" s="44"/>
      <c r="I21" s="43"/>
      <c r="J21" s="5"/>
    </row>
    <row r="22" spans="2:10" ht="19.5" x14ac:dyDescent="0.35">
      <c r="B22" s="45" t="s">
        <v>338</v>
      </c>
      <c r="C22" s="46"/>
      <c r="D22" s="6"/>
      <c r="E22" s="6"/>
      <c r="F22" s="47" t="s">
        <v>339</v>
      </c>
      <c r="G22" s="48"/>
      <c r="H22" s="48" t="s">
        <v>340</v>
      </c>
      <c r="I22" s="43"/>
      <c r="J22" s="5"/>
    </row>
    <row r="23" spans="2:10" ht="18.75" x14ac:dyDescent="0.3">
      <c r="B23" s="49" t="s">
        <v>341</v>
      </c>
      <c r="C23" s="5"/>
      <c r="D23" s="14"/>
      <c r="E23" s="15"/>
      <c r="F23" s="50">
        <v>63.01</v>
      </c>
      <c r="G23" s="26"/>
      <c r="H23" s="50">
        <f>F23*6</f>
        <v>378.06</v>
      </c>
      <c r="I23" s="15"/>
      <c r="J23" s="5"/>
    </row>
    <row r="24" spans="2:10" ht="15.75" x14ac:dyDescent="0.25">
      <c r="B24" s="51"/>
      <c r="C24" s="5"/>
      <c r="D24" s="52"/>
      <c r="E24" s="53"/>
      <c r="F24" s="65"/>
      <c r="G24" s="30"/>
      <c r="H24" s="50"/>
      <c r="I24" s="53"/>
      <c r="J24" s="5"/>
    </row>
    <row r="25" spans="2:10" ht="18.75" x14ac:dyDescent="0.3">
      <c r="B25" s="49" t="s">
        <v>342</v>
      </c>
      <c r="C25" s="51"/>
      <c r="D25" s="15"/>
      <c r="E25" s="15"/>
      <c r="F25" s="50">
        <v>4988.66</v>
      </c>
      <c r="G25" s="66"/>
      <c r="H25" s="50">
        <f>F25*6</f>
        <v>29931.96</v>
      </c>
      <c r="I25" s="15"/>
      <c r="J25" s="5"/>
    </row>
    <row r="26" spans="2:10" ht="15.75" x14ac:dyDescent="0.25">
      <c r="B26" s="54"/>
      <c r="C26" s="54"/>
      <c r="D26" s="55"/>
      <c r="E26" s="55"/>
      <c r="F26" s="56"/>
      <c r="G26" s="66"/>
      <c r="H26" s="50"/>
      <c r="I26" s="15"/>
      <c r="J26" s="5"/>
    </row>
    <row r="27" spans="2:10" ht="18.75" x14ac:dyDescent="0.3">
      <c r="B27" s="28" t="s">
        <v>343</v>
      </c>
      <c r="C27" s="54"/>
      <c r="D27" s="55"/>
      <c r="E27" s="55"/>
      <c r="F27" s="57">
        <v>729.87</v>
      </c>
      <c r="G27" s="66"/>
      <c r="H27" s="50">
        <f>F27*6</f>
        <v>4379.22</v>
      </c>
      <c r="I27" s="43"/>
      <c r="J27" s="5"/>
    </row>
    <row r="28" spans="2:10" ht="15.75" x14ac:dyDescent="0.25">
      <c r="B28" s="51"/>
      <c r="C28" s="54"/>
      <c r="D28" s="55"/>
      <c r="E28" s="55"/>
      <c r="F28" s="56"/>
      <c r="G28" s="66"/>
      <c r="H28" s="50"/>
      <c r="I28" s="43"/>
      <c r="J28" s="5"/>
    </row>
    <row r="29" spans="2:10" ht="18.75" x14ac:dyDescent="0.3">
      <c r="B29" s="28" t="s">
        <v>344</v>
      </c>
      <c r="C29" s="54"/>
      <c r="D29" s="6"/>
      <c r="E29" s="6"/>
      <c r="F29" s="58">
        <v>55.82</v>
      </c>
      <c r="G29" s="66"/>
      <c r="H29" s="50">
        <f>F29*6</f>
        <v>334.92</v>
      </c>
      <c r="I29" s="43"/>
      <c r="J29" s="5"/>
    </row>
    <row r="30" spans="2:10" ht="15.75" x14ac:dyDescent="0.25">
      <c r="B30" s="59"/>
      <c r="C30" s="54"/>
      <c r="D30" s="55"/>
      <c r="E30" s="55"/>
      <c r="F30" s="30"/>
      <c r="G30" s="66"/>
      <c r="H30" s="50"/>
      <c r="I30" s="60"/>
      <c r="J30" s="5"/>
    </row>
    <row r="31" spans="2:10" ht="18.75" x14ac:dyDescent="0.3">
      <c r="B31" s="49" t="s">
        <v>345</v>
      </c>
      <c r="C31" s="54"/>
      <c r="D31" s="55"/>
      <c r="E31" s="55"/>
      <c r="F31" s="57" t="e">
        <f>#REF!/139</f>
        <v>#REF!</v>
      </c>
      <c r="G31" s="66"/>
      <c r="H31" s="50" t="e">
        <f t="shared" ref="H31" si="0">F31*3</f>
        <v>#REF!</v>
      </c>
      <c r="I31" s="15"/>
      <c r="J31" s="5"/>
    </row>
    <row r="32" spans="2:10" ht="15.75" x14ac:dyDescent="0.25">
      <c r="B32" s="54"/>
      <c r="C32" s="54"/>
      <c r="D32" s="55"/>
      <c r="E32" s="55"/>
      <c r="F32" s="56"/>
      <c r="G32" s="66"/>
      <c r="H32" s="50"/>
      <c r="I32" s="53"/>
      <c r="J32" s="5"/>
    </row>
    <row r="33" spans="2:10" ht="18.75" x14ac:dyDescent="0.3">
      <c r="B33" s="49" t="s">
        <v>346</v>
      </c>
      <c r="C33" s="51"/>
      <c r="D33" s="14"/>
      <c r="E33" s="43"/>
      <c r="F33" s="50">
        <f>3016.22+6.42</f>
        <v>3022.64</v>
      </c>
      <c r="G33" s="67"/>
      <c r="H33" s="50">
        <f>F33*6</f>
        <v>18135.84</v>
      </c>
      <c r="I33" s="15"/>
      <c r="J33" s="5"/>
    </row>
    <row r="34" spans="2:10" ht="15.75" x14ac:dyDescent="0.25">
      <c r="B34" s="5"/>
      <c r="C34" s="51"/>
      <c r="D34" s="14"/>
      <c r="E34" s="43"/>
      <c r="F34" s="50"/>
      <c r="G34" s="67"/>
      <c r="H34" s="61"/>
      <c r="I34" s="15"/>
      <c r="J34" s="5"/>
    </row>
    <row r="35" spans="2:10" ht="19.5" x14ac:dyDescent="0.35">
      <c r="B35" s="62" t="s">
        <v>61</v>
      </c>
      <c r="C35" s="51"/>
      <c r="D35" s="15"/>
      <c r="E35" s="15"/>
      <c r="F35" s="63" t="e">
        <f>F23+F25+F27+F29+F31+F33</f>
        <v>#REF!</v>
      </c>
      <c r="G35" s="68"/>
      <c r="H35" s="63" t="e">
        <f>H23+H25+H27+H29+H31+H33</f>
        <v>#REF!</v>
      </c>
      <c r="I35" s="15"/>
      <c r="J35" s="5"/>
    </row>
    <row r="37" spans="2:10" x14ac:dyDescent="0.25">
      <c r="B37" t="s">
        <v>347</v>
      </c>
    </row>
    <row r="38" spans="2:10" x14ac:dyDescent="0.25">
      <c r="B38" t="s">
        <v>267</v>
      </c>
    </row>
    <row r="39" spans="2:10" x14ac:dyDescent="0.25">
      <c r="B39" t="s">
        <v>268</v>
      </c>
    </row>
    <row r="55" spans="2:2" ht="15.75" x14ac:dyDescent="0.25">
      <c r="B55" s="69"/>
    </row>
    <row r="56" spans="2:2" x14ac:dyDescent="0.25">
      <c r="B56" s="70"/>
    </row>
    <row r="57" spans="2:2" ht="15.75" x14ac:dyDescent="0.25">
      <c r="B57" s="69"/>
    </row>
    <row r="58" spans="2:2" ht="18.75" x14ac:dyDescent="0.3">
      <c r="B58" s="71"/>
    </row>
    <row r="59" spans="2:2" ht="15.75" x14ac:dyDescent="0.25">
      <c r="B59" s="72"/>
    </row>
    <row r="60" spans="2:2" x14ac:dyDescent="0.25">
      <c r="B60" s="73"/>
    </row>
    <row r="61" spans="2:2" x14ac:dyDescent="0.25">
      <c r="B61" s="73"/>
    </row>
    <row r="62" spans="2:2" x14ac:dyDescent="0.25">
      <c r="B62" s="74"/>
    </row>
    <row r="63" spans="2:2" ht="15.75" x14ac:dyDescent="0.25">
      <c r="B63" s="72"/>
    </row>
    <row r="64" spans="2:2" ht="15.75" x14ac:dyDescent="0.25">
      <c r="B64" s="75"/>
    </row>
    <row r="65" spans="2:2" x14ac:dyDescent="0.25">
      <c r="B65" s="76"/>
    </row>
    <row r="66" spans="2:2" x14ac:dyDescent="0.25">
      <c r="B66" s="76"/>
    </row>
    <row r="67" spans="2:2" x14ac:dyDescent="0.25">
      <c r="B67" s="76"/>
    </row>
  </sheetData>
  <mergeCells count="7">
    <mergeCell ref="D17:J17"/>
    <mergeCell ref="F2:G2"/>
    <mergeCell ref="F5:J5"/>
    <mergeCell ref="E7:G7"/>
    <mergeCell ref="B8:J8"/>
    <mergeCell ref="D9:F9"/>
    <mergeCell ref="B10:J10"/>
  </mergeCells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workbookViewId="0">
      <selection activeCell="W20" sqref="W20"/>
    </sheetView>
  </sheetViews>
  <sheetFormatPr defaultRowHeight="15" x14ac:dyDescent="0.25"/>
  <cols>
    <col min="4" max="4" width="13" customWidth="1"/>
    <col min="5" max="5" width="1.140625" customWidth="1"/>
    <col min="6" max="6" width="9.140625" hidden="1" customWidth="1"/>
    <col min="7" max="7" width="9.42578125" hidden="1" customWidth="1"/>
    <col min="8" max="8" width="3.140625" customWidth="1"/>
    <col min="9" max="9" width="10.28515625" customWidth="1"/>
    <col min="10" max="10" width="11.42578125" customWidth="1"/>
    <col min="11" max="11" width="11.5703125" hidden="1" customWidth="1"/>
    <col min="12" max="12" width="10.42578125" hidden="1" customWidth="1"/>
    <col min="13" max="13" width="10.140625" hidden="1" customWidth="1"/>
    <col min="14" max="14" width="25.42578125" customWidth="1"/>
    <col min="15" max="15" width="8" customWidth="1"/>
    <col min="16" max="17" width="8.140625" customWidth="1"/>
    <col min="18" max="18" width="12.7109375" customWidth="1"/>
    <col min="260" max="260" width="13" customWidth="1"/>
    <col min="261" max="261" width="1.140625" customWidth="1"/>
    <col min="262" max="263" width="0" hidden="1" customWidth="1"/>
    <col min="264" max="264" width="3.140625" customWidth="1"/>
    <col min="265" max="265" width="10.28515625" customWidth="1"/>
    <col min="266" max="266" width="11.42578125" customWidth="1"/>
    <col min="267" max="269" width="0" hidden="1" customWidth="1"/>
    <col min="270" max="270" width="25.42578125" customWidth="1"/>
    <col min="271" max="271" width="8" customWidth="1"/>
    <col min="272" max="273" width="8.140625" customWidth="1"/>
    <col min="274" max="274" width="12.7109375" customWidth="1"/>
    <col min="516" max="516" width="13" customWidth="1"/>
    <col min="517" max="517" width="1.140625" customWidth="1"/>
    <col min="518" max="519" width="0" hidden="1" customWidth="1"/>
    <col min="520" max="520" width="3.140625" customWidth="1"/>
    <col min="521" max="521" width="10.28515625" customWidth="1"/>
    <col min="522" max="522" width="11.42578125" customWidth="1"/>
    <col min="523" max="525" width="0" hidden="1" customWidth="1"/>
    <col min="526" max="526" width="25.42578125" customWidth="1"/>
    <col min="527" max="527" width="8" customWidth="1"/>
    <col min="528" max="529" width="8.140625" customWidth="1"/>
    <col min="530" max="530" width="12.7109375" customWidth="1"/>
    <col min="772" max="772" width="13" customWidth="1"/>
    <col min="773" max="773" width="1.140625" customWidth="1"/>
    <col min="774" max="775" width="0" hidden="1" customWidth="1"/>
    <col min="776" max="776" width="3.140625" customWidth="1"/>
    <col min="777" max="777" width="10.28515625" customWidth="1"/>
    <col min="778" max="778" width="11.42578125" customWidth="1"/>
    <col min="779" max="781" width="0" hidden="1" customWidth="1"/>
    <col min="782" max="782" width="25.42578125" customWidth="1"/>
    <col min="783" max="783" width="8" customWidth="1"/>
    <col min="784" max="785" width="8.140625" customWidth="1"/>
    <col min="786" max="786" width="12.7109375" customWidth="1"/>
    <col min="1028" max="1028" width="13" customWidth="1"/>
    <col min="1029" max="1029" width="1.140625" customWidth="1"/>
    <col min="1030" max="1031" width="0" hidden="1" customWidth="1"/>
    <col min="1032" max="1032" width="3.140625" customWidth="1"/>
    <col min="1033" max="1033" width="10.28515625" customWidth="1"/>
    <col min="1034" max="1034" width="11.42578125" customWidth="1"/>
    <col min="1035" max="1037" width="0" hidden="1" customWidth="1"/>
    <col min="1038" max="1038" width="25.42578125" customWidth="1"/>
    <col min="1039" max="1039" width="8" customWidth="1"/>
    <col min="1040" max="1041" width="8.140625" customWidth="1"/>
    <col min="1042" max="1042" width="12.7109375" customWidth="1"/>
    <col min="1284" max="1284" width="13" customWidth="1"/>
    <col min="1285" max="1285" width="1.140625" customWidth="1"/>
    <col min="1286" max="1287" width="0" hidden="1" customWidth="1"/>
    <col min="1288" max="1288" width="3.140625" customWidth="1"/>
    <col min="1289" max="1289" width="10.28515625" customWidth="1"/>
    <col min="1290" max="1290" width="11.42578125" customWidth="1"/>
    <col min="1291" max="1293" width="0" hidden="1" customWidth="1"/>
    <col min="1294" max="1294" width="25.42578125" customWidth="1"/>
    <col min="1295" max="1295" width="8" customWidth="1"/>
    <col min="1296" max="1297" width="8.140625" customWidth="1"/>
    <col min="1298" max="1298" width="12.7109375" customWidth="1"/>
    <col min="1540" max="1540" width="13" customWidth="1"/>
    <col min="1541" max="1541" width="1.140625" customWidth="1"/>
    <col min="1542" max="1543" width="0" hidden="1" customWidth="1"/>
    <col min="1544" max="1544" width="3.140625" customWidth="1"/>
    <col min="1545" max="1545" width="10.28515625" customWidth="1"/>
    <col min="1546" max="1546" width="11.42578125" customWidth="1"/>
    <col min="1547" max="1549" width="0" hidden="1" customWidth="1"/>
    <col min="1550" max="1550" width="25.42578125" customWidth="1"/>
    <col min="1551" max="1551" width="8" customWidth="1"/>
    <col min="1552" max="1553" width="8.140625" customWidth="1"/>
    <col min="1554" max="1554" width="12.7109375" customWidth="1"/>
    <col min="1796" max="1796" width="13" customWidth="1"/>
    <col min="1797" max="1797" width="1.140625" customWidth="1"/>
    <col min="1798" max="1799" width="0" hidden="1" customWidth="1"/>
    <col min="1800" max="1800" width="3.140625" customWidth="1"/>
    <col min="1801" max="1801" width="10.28515625" customWidth="1"/>
    <col min="1802" max="1802" width="11.42578125" customWidth="1"/>
    <col min="1803" max="1805" width="0" hidden="1" customWidth="1"/>
    <col min="1806" max="1806" width="25.42578125" customWidth="1"/>
    <col min="1807" max="1807" width="8" customWidth="1"/>
    <col min="1808" max="1809" width="8.140625" customWidth="1"/>
    <col min="1810" max="1810" width="12.7109375" customWidth="1"/>
    <col min="2052" max="2052" width="13" customWidth="1"/>
    <col min="2053" max="2053" width="1.140625" customWidth="1"/>
    <col min="2054" max="2055" width="0" hidden="1" customWidth="1"/>
    <col min="2056" max="2056" width="3.140625" customWidth="1"/>
    <col min="2057" max="2057" width="10.28515625" customWidth="1"/>
    <col min="2058" max="2058" width="11.42578125" customWidth="1"/>
    <col min="2059" max="2061" width="0" hidden="1" customWidth="1"/>
    <col min="2062" max="2062" width="25.42578125" customWidth="1"/>
    <col min="2063" max="2063" width="8" customWidth="1"/>
    <col min="2064" max="2065" width="8.140625" customWidth="1"/>
    <col min="2066" max="2066" width="12.7109375" customWidth="1"/>
    <col min="2308" max="2308" width="13" customWidth="1"/>
    <col min="2309" max="2309" width="1.140625" customWidth="1"/>
    <col min="2310" max="2311" width="0" hidden="1" customWidth="1"/>
    <col min="2312" max="2312" width="3.140625" customWidth="1"/>
    <col min="2313" max="2313" width="10.28515625" customWidth="1"/>
    <col min="2314" max="2314" width="11.42578125" customWidth="1"/>
    <col min="2315" max="2317" width="0" hidden="1" customWidth="1"/>
    <col min="2318" max="2318" width="25.42578125" customWidth="1"/>
    <col min="2319" max="2319" width="8" customWidth="1"/>
    <col min="2320" max="2321" width="8.140625" customWidth="1"/>
    <col min="2322" max="2322" width="12.7109375" customWidth="1"/>
    <col min="2564" max="2564" width="13" customWidth="1"/>
    <col min="2565" max="2565" width="1.140625" customWidth="1"/>
    <col min="2566" max="2567" width="0" hidden="1" customWidth="1"/>
    <col min="2568" max="2568" width="3.140625" customWidth="1"/>
    <col min="2569" max="2569" width="10.28515625" customWidth="1"/>
    <col min="2570" max="2570" width="11.42578125" customWidth="1"/>
    <col min="2571" max="2573" width="0" hidden="1" customWidth="1"/>
    <col min="2574" max="2574" width="25.42578125" customWidth="1"/>
    <col min="2575" max="2575" width="8" customWidth="1"/>
    <col min="2576" max="2577" width="8.140625" customWidth="1"/>
    <col min="2578" max="2578" width="12.7109375" customWidth="1"/>
    <col min="2820" max="2820" width="13" customWidth="1"/>
    <col min="2821" max="2821" width="1.140625" customWidth="1"/>
    <col min="2822" max="2823" width="0" hidden="1" customWidth="1"/>
    <col min="2824" max="2824" width="3.140625" customWidth="1"/>
    <col min="2825" max="2825" width="10.28515625" customWidth="1"/>
    <col min="2826" max="2826" width="11.42578125" customWidth="1"/>
    <col min="2827" max="2829" width="0" hidden="1" customWidth="1"/>
    <col min="2830" max="2830" width="25.42578125" customWidth="1"/>
    <col min="2831" max="2831" width="8" customWidth="1"/>
    <col min="2832" max="2833" width="8.140625" customWidth="1"/>
    <col min="2834" max="2834" width="12.7109375" customWidth="1"/>
    <col min="3076" max="3076" width="13" customWidth="1"/>
    <col min="3077" max="3077" width="1.140625" customWidth="1"/>
    <col min="3078" max="3079" width="0" hidden="1" customWidth="1"/>
    <col min="3080" max="3080" width="3.140625" customWidth="1"/>
    <col min="3081" max="3081" width="10.28515625" customWidth="1"/>
    <col min="3082" max="3082" width="11.42578125" customWidth="1"/>
    <col min="3083" max="3085" width="0" hidden="1" customWidth="1"/>
    <col min="3086" max="3086" width="25.42578125" customWidth="1"/>
    <col min="3087" max="3087" width="8" customWidth="1"/>
    <col min="3088" max="3089" width="8.140625" customWidth="1"/>
    <col min="3090" max="3090" width="12.7109375" customWidth="1"/>
    <col min="3332" max="3332" width="13" customWidth="1"/>
    <col min="3333" max="3333" width="1.140625" customWidth="1"/>
    <col min="3334" max="3335" width="0" hidden="1" customWidth="1"/>
    <col min="3336" max="3336" width="3.140625" customWidth="1"/>
    <col min="3337" max="3337" width="10.28515625" customWidth="1"/>
    <col min="3338" max="3338" width="11.42578125" customWidth="1"/>
    <col min="3339" max="3341" width="0" hidden="1" customWidth="1"/>
    <col min="3342" max="3342" width="25.42578125" customWidth="1"/>
    <col min="3343" max="3343" width="8" customWidth="1"/>
    <col min="3344" max="3345" width="8.140625" customWidth="1"/>
    <col min="3346" max="3346" width="12.7109375" customWidth="1"/>
    <col min="3588" max="3588" width="13" customWidth="1"/>
    <col min="3589" max="3589" width="1.140625" customWidth="1"/>
    <col min="3590" max="3591" width="0" hidden="1" customWidth="1"/>
    <col min="3592" max="3592" width="3.140625" customWidth="1"/>
    <col min="3593" max="3593" width="10.28515625" customWidth="1"/>
    <col min="3594" max="3594" width="11.42578125" customWidth="1"/>
    <col min="3595" max="3597" width="0" hidden="1" customWidth="1"/>
    <col min="3598" max="3598" width="25.42578125" customWidth="1"/>
    <col min="3599" max="3599" width="8" customWidth="1"/>
    <col min="3600" max="3601" width="8.140625" customWidth="1"/>
    <col min="3602" max="3602" width="12.7109375" customWidth="1"/>
    <col min="3844" max="3844" width="13" customWidth="1"/>
    <col min="3845" max="3845" width="1.140625" customWidth="1"/>
    <col min="3846" max="3847" width="0" hidden="1" customWidth="1"/>
    <col min="3848" max="3848" width="3.140625" customWidth="1"/>
    <col min="3849" max="3849" width="10.28515625" customWidth="1"/>
    <col min="3850" max="3850" width="11.42578125" customWidth="1"/>
    <col min="3851" max="3853" width="0" hidden="1" customWidth="1"/>
    <col min="3854" max="3854" width="25.42578125" customWidth="1"/>
    <col min="3855" max="3855" width="8" customWidth="1"/>
    <col min="3856" max="3857" width="8.140625" customWidth="1"/>
    <col min="3858" max="3858" width="12.7109375" customWidth="1"/>
    <col min="4100" max="4100" width="13" customWidth="1"/>
    <col min="4101" max="4101" width="1.140625" customWidth="1"/>
    <col min="4102" max="4103" width="0" hidden="1" customWidth="1"/>
    <col min="4104" max="4104" width="3.140625" customWidth="1"/>
    <col min="4105" max="4105" width="10.28515625" customWidth="1"/>
    <col min="4106" max="4106" width="11.42578125" customWidth="1"/>
    <col min="4107" max="4109" width="0" hidden="1" customWidth="1"/>
    <col min="4110" max="4110" width="25.42578125" customWidth="1"/>
    <col min="4111" max="4111" width="8" customWidth="1"/>
    <col min="4112" max="4113" width="8.140625" customWidth="1"/>
    <col min="4114" max="4114" width="12.7109375" customWidth="1"/>
    <col min="4356" max="4356" width="13" customWidth="1"/>
    <col min="4357" max="4357" width="1.140625" customWidth="1"/>
    <col min="4358" max="4359" width="0" hidden="1" customWidth="1"/>
    <col min="4360" max="4360" width="3.140625" customWidth="1"/>
    <col min="4361" max="4361" width="10.28515625" customWidth="1"/>
    <col min="4362" max="4362" width="11.42578125" customWidth="1"/>
    <col min="4363" max="4365" width="0" hidden="1" customWidth="1"/>
    <col min="4366" max="4366" width="25.42578125" customWidth="1"/>
    <col min="4367" max="4367" width="8" customWidth="1"/>
    <col min="4368" max="4369" width="8.140625" customWidth="1"/>
    <col min="4370" max="4370" width="12.7109375" customWidth="1"/>
    <col min="4612" max="4612" width="13" customWidth="1"/>
    <col min="4613" max="4613" width="1.140625" customWidth="1"/>
    <col min="4614" max="4615" width="0" hidden="1" customWidth="1"/>
    <col min="4616" max="4616" width="3.140625" customWidth="1"/>
    <col min="4617" max="4617" width="10.28515625" customWidth="1"/>
    <col min="4618" max="4618" width="11.42578125" customWidth="1"/>
    <col min="4619" max="4621" width="0" hidden="1" customWidth="1"/>
    <col min="4622" max="4622" width="25.42578125" customWidth="1"/>
    <col min="4623" max="4623" width="8" customWidth="1"/>
    <col min="4624" max="4625" width="8.140625" customWidth="1"/>
    <col min="4626" max="4626" width="12.7109375" customWidth="1"/>
    <col min="4868" max="4868" width="13" customWidth="1"/>
    <col min="4869" max="4869" width="1.140625" customWidth="1"/>
    <col min="4870" max="4871" width="0" hidden="1" customWidth="1"/>
    <col min="4872" max="4872" width="3.140625" customWidth="1"/>
    <col min="4873" max="4873" width="10.28515625" customWidth="1"/>
    <col min="4874" max="4874" width="11.42578125" customWidth="1"/>
    <col min="4875" max="4877" width="0" hidden="1" customWidth="1"/>
    <col min="4878" max="4878" width="25.42578125" customWidth="1"/>
    <col min="4879" max="4879" width="8" customWidth="1"/>
    <col min="4880" max="4881" width="8.140625" customWidth="1"/>
    <col min="4882" max="4882" width="12.7109375" customWidth="1"/>
    <col min="5124" max="5124" width="13" customWidth="1"/>
    <col min="5125" max="5125" width="1.140625" customWidth="1"/>
    <col min="5126" max="5127" width="0" hidden="1" customWidth="1"/>
    <col min="5128" max="5128" width="3.140625" customWidth="1"/>
    <col min="5129" max="5129" width="10.28515625" customWidth="1"/>
    <col min="5130" max="5130" width="11.42578125" customWidth="1"/>
    <col min="5131" max="5133" width="0" hidden="1" customWidth="1"/>
    <col min="5134" max="5134" width="25.42578125" customWidth="1"/>
    <col min="5135" max="5135" width="8" customWidth="1"/>
    <col min="5136" max="5137" width="8.140625" customWidth="1"/>
    <col min="5138" max="5138" width="12.7109375" customWidth="1"/>
    <col min="5380" max="5380" width="13" customWidth="1"/>
    <col min="5381" max="5381" width="1.140625" customWidth="1"/>
    <col min="5382" max="5383" width="0" hidden="1" customWidth="1"/>
    <col min="5384" max="5384" width="3.140625" customWidth="1"/>
    <col min="5385" max="5385" width="10.28515625" customWidth="1"/>
    <col min="5386" max="5386" width="11.42578125" customWidth="1"/>
    <col min="5387" max="5389" width="0" hidden="1" customWidth="1"/>
    <col min="5390" max="5390" width="25.42578125" customWidth="1"/>
    <col min="5391" max="5391" width="8" customWidth="1"/>
    <col min="5392" max="5393" width="8.140625" customWidth="1"/>
    <col min="5394" max="5394" width="12.7109375" customWidth="1"/>
    <col min="5636" max="5636" width="13" customWidth="1"/>
    <col min="5637" max="5637" width="1.140625" customWidth="1"/>
    <col min="5638" max="5639" width="0" hidden="1" customWidth="1"/>
    <col min="5640" max="5640" width="3.140625" customWidth="1"/>
    <col min="5641" max="5641" width="10.28515625" customWidth="1"/>
    <col min="5642" max="5642" width="11.42578125" customWidth="1"/>
    <col min="5643" max="5645" width="0" hidden="1" customWidth="1"/>
    <col min="5646" max="5646" width="25.42578125" customWidth="1"/>
    <col min="5647" max="5647" width="8" customWidth="1"/>
    <col min="5648" max="5649" width="8.140625" customWidth="1"/>
    <col min="5650" max="5650" width="12.7109375" customWidth="1"/>
    <col min="5892" max="5892" width="13" customWidth="1"/>
    <col min="5893" max="5893" width="1.140625" customWidth="1"/>
    <col min="5894" max="5895" width="0" hidden="1" customWidth="1"/>
    <col min="5896" max="5896" width="3.140625" customWidth="1"/>
    <col min="5897" max="5897" width="10.28515625" customWidth="1"/>
    <col min="5898" max="5898" width="11.42578125" customWidth="1"/>
    <col min="5899" max="5901" width="0" hidden="1" customWidth="1"/>
    <col min="5902" max="5902" width="25.42578125" customWidth="1"/>
    <col min="5903" max="5903" width="8" customWidth="1"/>
    <col min="5904" max="5905" width="8.140625" customWidth="1"/>
    <col min="5906" max="5906" width="12.7109375" customWidth="1"/>
    <col min="6148" max="6148" width="13" customWidth="1"/>
    <col min="6149" max="6149" width="1.140625" customWidth="1"/>
    <col min="6150" max="6151" width="0" hidden="1" customWidth="1"/>
    <col min="6152" max="6152" width="3.140625" customWidth="1"/>
    <col min="6153" max="6153" width="10.28515625" customWidth="1"/>
    <col min="6154" max="6154" width="11.42578125" customWidth="1"/>
    <col min="6155" max="6157" width="0" hidden="1" customWidth="1"/>
    <col min="6158" max="6158" width="25.42578125" customWidth="1"/>
    <col min="6159" max="6159" width="8" customWidth="1"/>
    <col min="6160" max="6161" width="8.140625" customWidth="1"/>
    <col min="6162" max="6162" width="12.7109375" customWidth="1"/>
    <col min="6404" max="6404" width="13" customWidth="1"/>
    <col min="6405" max="6405" width="1.140625" customWidth="1"/>
    <col min="6406" max="6407" width="0" hidden="1" customWidth="1"/>
    <col min="6408" max="6408" width="3.140625" customWidth="1"/>
    <col min="6409" max="6409" width="10.28515625" customWidth="1"/>
    <col min="6410" max="6410" width="11.42578125" customWidth="1"/>
    <col min="6411" max="6413" width="0" hidden="1" customWidth="1"/>
    <col min="6414" max="6414" width="25.42578125" customWidth="1"/>
    <col min="6415" max="6415" width="8" customWidth="1"/>
    <col min="6416" max="6417" width="8.140625" customWidth="1"/>
    <col min="6418" max="6418" width="12.7109375" customWidth="1"/>
    <col min="6660" max="6660" width="13" customWidth="1"/>
    <col min="6661" max="6661" width="1.140625" customWidth="1"/>
    <col min="6662" max="6663" width="0" hidden="1" customWidth="1"/>
    <col min="6664" max="6664" width="3.140625" customWidth="1"/>
    <col min="6665" max="6665" width="10.28515625" customWidth="1"/>
    <col min="6666" max="6666" width="11.42578125" customWidth="1"/>
    <col min="6667" max="6669" width="0" hidden="1" customWidth="1"/>
    <col min="6670" max="6670" width="25.42578125" customWidth="1"/>
    <col min="6671" max="6671" width="8" customWidth="1"/>
    <col min="6672" max="6673" width="8.140625" customWidth="1"/>
    <col min="6674" max="6674" width="12.7109375" customWidth="1"/>
    <col min="6916" max="6916" width="13" customWidth="1"/>
    <col min="6917" max="6917" width="1.140625" customWidth="1"/>
    <col min="6918" max="6919" width="0" hidden="1" customWidth="1"/>
    <col min="6920" max="6920" width="3.140625" customWidth="1"/>
    <col min="6921" max="6921" width="10.28515625" customWidth="1"/>
    <col min="6922" max="6922" width="11.42578125" customWidth="1"/>
    <col min="6923" max="6925" width="0" hidden="1" customWidth="1"/>
    <col min="6926" max="6926" width="25.42578125" customWidth="1"/>
    <col min="6927" max="6927" width="8" customWidth="1"/>
    <col min="6928" max="6929" width="8.140625" customWidth="1"/>
    <col min="6930" max="6930" width="12.7109375" customWidth="1"/>
    <col min="7172" max="7172" width="13" customWidth="1"/>
    <col min="7173" max="7173" width="1.140625" customWidth="1"/>
    <col min="7174" max="7175" width="0" hidden="1" customWidth="1"/>
    <col min="7176" max="7176" width="3.140625" customWidth="1"/>
    <col min="7177" max="7177" width="10.28515625" customWidth="1"/>
    <col min="7178" max="7178" width="11.42578125" customWidth="1"/>
    <col min="7179" max="7181" width="0" hidden="1" customWidth="1"/>
    <col min="7182" max="7182" width="25.42578125" customWidth="1"/>
    <col min="7183" max="7183" width="8" customWidth="1"/>
    <col min="7184" max="7185" width="8.140625" customWidth="1"/>
    <col min="7186" max="7186" width="12.7109375" customWidth="1"/>
    <col min="7428" max="7428" width="13" customWidth="1"/>
    <col min="7429" max="7429" width="1.140625" customWidth="1"/>
    <col min="7430" max="7431" width="0" hidden="1" customWidth="1"/>
    <col min="7432" max="7432" width="3.140625" customWidth="1"/>
    <col min="7433" max="7433" width="10.28515625" customWidth="1"/>
    <col min="7434" max="7434" width="11.42578125" customWidth="1"/>
    <col min="7435" max="7437" width="0" hidden="1" customWidth="1"/>
    <col min="7438" max="7438" width="25.42578125" customWidth="1"/>
    <col min="7439" max="7439" width="8" customWidth="1"/>
    <col min="7440" max="7441" width="8.140625" customWidth="1"/>
    <col min="7442" max="7442" width="12.7109375" customWidth="1"/>
    <col min="7684" max="7684" width="13" customWidth="1"/>
    <col min="7685" max="7685" width="1.140625" customWidth="1"/>
    <col min="7686" max="7687" width="0" hidden="1" customWidth="1"/>
    <col min="7688" max="7688" width="3.140625" customWidth="1"/>
    <col min="7689" max="7689" width="10.28515625" customWidth="1"/>
    <col min="7690" max="7690" width="11.42578125" customWidth="1"/>
    <col min="7691" max="7693" width="0" hidden="1" customWidth="1"/>
    <col min="7694" max="7694" width="25.42578125" customWidth="1"/>
    <col min="7695" max="7695" width="8" customWidth="1"/>
    <col min="7696" max="7697" width="8.140625" customWidth="1"/>
    <col min="7698" max="7698" width="12.7109375" customWidth="1"/>
    <col min="7940" max="7940" width="13" customWidth="1"/>
    <col min="7941" max="7941" width="1.140625" customWidth="1"/>
    <col min="7942" max="7943" width="0" hidden="1" customWidth="1"/>
    <col min="7944" max="7944" width="3.140625" customWidth="1"/>
    <col min="7945" max="7945" width="10.28515625" customWidth="1"/>
    <col min="7946" max="7946" width="11.42578125" customWidth="1"/>
    <col min="7947" max="7949" width="0" hidden="1" customWidth="1"/>
    <col min="7950" max="7950" width="25.42578125" customWidth="1"/>
    <col min="7951" max="7951" width="8" customWidth="1"/>
    <col min="7952" max="7953" width="8.140625" customWidth="1"/>
    <col min="7954" max="7954" width="12.7109375" customWidth="1"/>
    <col min="8196" max="8196" width="13" customWidth="1"/>
    <col min="8197" max="8197" width="1.140625" customWidth="1"/>
    <col min="8198" max="8199" width="0" hidden="1" customWidth="1"/>
    <col min="8200" max="8200" width="3.140625" customWidth="1"/>
    <col min="8201" max="8201" width="10.28515625" customWidth="1"/>
    <col min="8202" max="8202" width="11.42578125" customWidth="1"/>
    <col min="8203" max="8205" width="0" hidden="1" customWidth="1"/>
    <col min="8206" max="8206" width="25.42578125" customWidth="1"/>
    <col min="8207" max="8207" width="8" customWidth="1"/>
    <col min="8208" max="8209" width="8.140625" customWidth="1"/>
    <col min="8210" max="8210" width="12.7109375" customWidth="1"/>
    <col min="8452" max="8452" width="13" customWidth="1"/>
    <col min="8453" max="8453" width="1.140625" customWidth="1"/>
    <col min="8454" max="8455" width="0" hidden="1" customWidth="1"/>
    <col min="8456" max="8456" width="3.140625" customWidth="1"/>
    <col min="8457" max="8457" width="10.28515625" customWidth="1"/>
    <col min="8458" max="8458" width="11.42578125" customWidth="1"/>
    <col min="8459" max="8461" width="0" hidden="1" customWidth="1"/>
    <col min="8462" max="8462" width="25.42578125" customWidth="1"/>
    <col min="8463" max="8463" width="8" customWidth="1"/>
    <col min="8464" max="8465" width="8.140625" customWidth="1"/>
    <col min="8466" max="8466" width="12.7109375" customWidth="1"/>
    <col min="8708" max="8708" width="13" customWidth="1"/>
    <col min="8709" max="8709" width="1.140625" customWidth="1"/>
    <col min="8710" max="8711" width="0" hidden="1" customWidth="1"/>
    <col min="8712" max="8712" width="3.140625" customWidth="1"/>
    <col min="8713" max="8713" width="10.28515625" customWidth="1"/>
    <col min="8714" max="8714" width="11.42578125" customWidth="1"/>
    <col min="8715" max="8717" width="0" hidden="1" customWidth="1"/>
    <col min="8718" max="8718" width="25.42578125" customWidth="1"/>
    <col min="8719" max="8719" width="8" customWidth="1"/>
    <col min="8720" max="8721" width="8.140625" customWidth="1"/>
    <col min="8722" max="8722" width="12.7109375" customWidth="1"/>
    <col min="8964" max="8964" width="13" customWidth="1"/>
    <col min="8965" max="8965" width="1.140625" customWidth="1"/>
    <col min="8966" max="8967" width="0" hidden="1" customWidth="1"/>
    <col min="8968" max="8968" width="3.140625" customWidth="1"/>
    <col min="8969" max="8969" width="10.28515625" customWidth="1"/>
    <col min="8970" max="8970" width="11.42578125" customWidth="1"/>
    <col min="8971" max="8973" width="0" hidden="1" customWidth="1"/>
    <col min="8974" max="8974" width="25.42578125" customWidth="1"/>
    <col min="8975" max="8975" width="8" customWidth="1"/>
    <col min="8976" max="8977" width="8.140625" customWidth="1"/>
    <col min="8978" max="8978" width="12.7109375" customWidth="1"/>
    <col min="9220" max="9220" width="13" customWidth="1"/>
    <col min="9221" max="9221" width="1.140625" customWidth="1"/>
    <col min="9222" max="9223" width="0" hidden="1" customWidth="1"/>
    <col min="9224" max="9224" width="3.140625" customWidth="1"/>
    <col min="9225" max="9225" width="10.28515625" customWidth="1"/>
    <col min="9226" max="9226" width="11.42578125" customWidth="1"/>
    <col min="9227" max="9229" width="0" hidden="1" customWidth="1"/>
    <col min="9230" max="9230" width="25.42578125" customWidth="1"/>
    <col min="9231" max="9231" width="8" customWidth="1"/>
    <col min="9232" max="9233" width="8.140625" customWidth="1"/>
    <col min="9234" max="9234" width="12.7109375" customWidth="1"/>
    <col min="9476" max="9476" width="13" customWidth="1"/>
    <col min="9477" max="9477" width="1.140625" customWidth="1"/>
    <col min="9478" max="9479" width="0" hidden="1" customWidth="1"/>
    <col min="9480" max="9480" width="3.140625" customWidth="1"/>
    <col min="9481" max="9481" width="10.28515625" customWidth="1"/>
    <col min="9482" max="9482" width="11.42578125" customWidth="1"/>
    <col min="9483" max="9485" width="0" hidden="1" customWidth="1"/>
    <col min="9486" max="9486" width="25.42578125" customWidth="1"/>
    <col min="9487" max="9487" width="8" customWidth="1"/>
    <col min="9488" max="9489" width="8.140625" customWidth="1"/>
    <col min="9490" max="9490" width="12.7109375" customWidth="1"/>
    <col min="9732" max="9732" width="13" customWidth="1"/>
    <col min="9733" max="9733" width="1.140625" customWidth="1"/>
    <col min="9734" max="9735" width="0" hidden="1" customWidth="1"/>
    <col min="9736" max="9736" width="3.140625" customWidth="1"/>
    <col min="9737" max="9737" width="10.28515625" customWidth="1"/>
    <col min="9738" max="9738" width="11.42578125" customWidth="1"/>
    <col min="9739" max="9741" width="0" hidden="1" customWidth="1"/>
    <col min="9742" max="9742" width="25.42578125" customWidth="1"/>
    <col min="9743" max="9743" width="8" customWidth="1"/>
    <col min="9744" max="9745" width="8.140625" customWidth="1"/>
    <col min="9746" max="9746" width="12.7109375" customWidth="1"/>
    <col min="9988" max="9988" width="13" customWidth="1"/>
    <col min="9989" max="9989" width="1.140625" customWidth="1"/>
    <col min="9990" max="9991" width="0" hidden="1" customWidth="1"/>
    <col min="9992" max="9992" width="3.140625" customWidth="1"/>
    <col min="9993" max="9993" width="10.28515625" customWidth="1"/>
    <col min="9994" max="9994" width="11.42578125" customWidth="1"/>
    <col min="9995" max="9997" width="0" hidden="1" customWidth="1"/>
    <col min="9998" max="9998" width="25.42578125" customWidth="1"/>
    <col min="9999" max="9999" width="8" customWidth="1"/>
    <col min="10000" max="10001" width="8.140625" customWidth="1"/>
    <col min="10002" max="10002" width="12.7109375" customWidth="1"/>
    <col min="10244" max="10244" width="13" customWidth="1"/>
    <col min="10245" max="10245" width="1.140625" customWidth="1"/>
    <col min="10246" max="10247" width="0" hidden="1" customWidth="1"/>
    <col min="10248" max="10248" width="3.140625" customWidth="1"/>
    <col min="10249" max="10249" width="10.28515625" customWidth="1"/>
    <col min="10250" max="10250" width="11.42578125" customWidth="1"/>
    <col min="10251" max="10253" width="0" hidden="1" customWidth="1"/>
    <col min="10254" max="10254" width="25.42578125" customWidth="1"/>
    <col min="10255" max="10255" width="8" customWidth="1"/>
    <col min="10256" max="10257" width="8.140625" customWidth="1"/>
    <col min="10258" max="10258" width="12.7109375" customWidth="1"/>
    <col min="10500" max="10500" width="13" customWidth="1"/>
    <col min="10501" max="10501" width="1.140625" customWidth="1"/>
    <col min="10502" max="10503" width="0" hidden="1" customWidth="1"/>
    <col min="10504" max="10504" width="3.140625" customWidth="1"/>
    <col min="10505" max="10505" width="10.28515625" customWidth="1"/>
    <col min="10506" max="10506" width="11.42578125" customWidth="1"/>
    <col min="10507" max="10509" width="0" hidden="1" customWidth="1"/>
    <col min="10510" max="10510" width="25.42578125" customWidth="1"/>
    <col min="10511" max="10511" width="8" customWidth="1"/>
    <col min="10512" max="10513" width="8.140625" customWidth="1"/>
    <col min="10514" max="10514" width="12.7109375" customWidth="1"/>
    <col min="10756" max="10756" width="13" customWidth="1"/>
    <col min="10757" max="10757" width="1.140625" customWidth="1"/>
    <col min="10758" max="10759" width="0" hidden="1" customWidth="1"/>
    <col min="10760" max="10760" width="3.140625" customWidth="1"/>
    <col min="10761" max="10761" width="10.28515625" customWidth="1"/>
    <col min="10762" max="10762" width="11.42578125" customWidth="1"/>
    <col min="10763" max="10765" width="0" hidden="1" customWidth="1"/>
    <col min="10766" max="10766" width="25.42578125" customWidth="1"/>
    <col min="10767" max="10767" width="8" customWidth="1"/>
    <col min="10768" max="10769" width="8.140625" customWidth="1"/>
    <col min="10770" max="10770" width="12.7109375" customWidth="1"/>
    <col min="11012" max="11012" width="13" customWidth="1"/>
    <col min="11013" max="11013" width="1.140625" customWidth="1"/>
    <col min="11014" max="11015" width="0" hidden="1" customWidth="1"/>
    <col min="11016" max="11016" width="3.140625" customWidth="1"/>
    <col min="11017" max="11017" width="10.28515625" customWidth="1"/>
    <col min="11018" max="11018" width="11.42578125" customWidth="1"/>
    <col min="11019" max="11021" width="0" hidden="1" customWidth="1"/>
    <col min="11022" max="11022" width="25.42578125" customWidth="1"/>
    <col min="11023" max="11023" width="8" customWidth="1"/>
    <col min="11024" max="11025" width="8.140625" customWidth="1"/>
    <col min="11026" max="11026" width="12.7109375" customWidth="1"/>
    <col min="11268" max="11268" width="13" customWidth="1"/>
    <col min="11269" max="11269" width="1.140625" customWidth="1"/>
    <col min="11270" max="11271" width="0" hidden="1" customWidth="1"/>
    <col min="11272" max="11272" width="3.140625" customWidth="1"/>
    <col min="11273" max="11273" width="10.28515625" customWidth="1"/>
    <col min="11274" max="11274" width="11.42578125" customWidth="1"/>
    <col min="11275" max="11277" width="0" hidden="1" customWidth="1"/>
    <col min="11278" max="11278" width="25.42578125" customWidth="1"/>
    <col min="11279" max="11279" width="8" customWidth="1"/>
    <col min="11280" max="11281" width="8.140625" customWidth="1"/>
    <col min="11282" max="11282" width="12.7109375" customWidth="1"/>
    <col min="11524" max="11524" width="13" customWidth="1"/>
    <col min="11525" max="11525" width="1.140625" customWidth="1"/>
    <col min="11526" max="11527" width="0" hidden="1" customWidth="1"/>
    <col min="11528" max="11528" width="3.140625" customWidth="1"/>
    <col min="11529" max="11529" width="10.28515625" customWidth="1"/>
    <col min="11530" max="11530" width="11.42578125" customWidth="1"/>
    <col min="11531" max="11533" width="0" hidden="1" customWidth="1"/>
    <col min="11534" max="11534" width="25.42578125" customWidth="1"/>
    <col min="11535" max="11535" width="8" customWidth="1"/>
    <col min="11536" max="11537" width="8.140625" customWidth="1"/>
    <col min="11538" max="11538" width="12.7109375" customWidth="1"/>
    <col min="11780" max="11780" width="13" customWidth="1"/>
    <col min="11781" max="11781" width="1.140625" customWidth="1"/>
    <col min="11782" max="11783" width="0" hidden="1" customWidth="1"/>
    <col min="11784" max="11784" width="3.140625" customWidth="1"/>
    <col min="11785" max="11785" width="10.28515625" customWidth="1"/>
    <col min="11786" max="11786" width="11.42578125" customWidth="1"/>
    <col min="11787" max="11789" width="0" hidden="1" customWidth="1"/>
    <col min="11790" max="11790" width="25.42578125" customWidth="1"/>
    <col min="11791" max="11791" width="8" customWidth="1"/>
    <col min="11792" max="11793" width="8.140625" customWidth="1"/>
    <col min="11794" max="11794" width="12.7109375" customWidth="1"/>
    <col min="12036" max="12036" width="13" customWidth="1"/>
    <col min="12037" max="12037" width="1.140625" customWidth="1"/>
    <col min="12038" max="12039" width="0" hidden="1" customWidth="1"/>
    <col min="12040" max="12040" width="3.140625" customWidth="1"/>
    <col min="12041" max="12041" width="10.28515625" customWidth="1"/>
    <col min="12042" max="12042" width="11.42578125" customWidth="1"/>
    <col min="12043" max="12045" width="0" hidden="1" customWidth="1"/>
    <col min="12046" max="12046" width="25.42578125" customWidth="1"/>
    <col min="12047" max="12047" width="8" customWidth="1"/>
    <col min="12048" max="12049" width="8.140625" customWidth="1"/>
    <col min="12050" max="12050" width="12.7109375" customWidth="1"/>
    <col min="12292" max="12292" width="13" customWidth="1"/>
    <col min="12293" max="12293" width="1.140625" customWidth="1"/>
    <col min="12294" max="12295" width="0" hidden="1" customWidth="1"/>
    <col min="12296" max="12296" width="3.140625" customWidth="1"/>
    <col min="12297" max="12297" width="10.28515625" customWidth="1"/>
    <col min="12298" max="12298" width="11.42578125" customWidth="1"/>
    <col min="12299" max="12301" width="0" hidden="1" customWidth="1"/>
    <col min="12302" max="12302" width="25.42578125" customWidth="1"/>
    <col min="12303" max="12303" width="8" customWidth="1"/>
    <col min="12304" max="12305" width="8.140625" customWidth="1"/>
    <col min="12306" max="12306" width="12.7109375" customWidth="1"/>
    <col min="12548" max="12548" width="13" customWidth="1"/>
    <col min="12549" max="12549" width="1.140625" customWidth="1"/>
    <col min="12550" max="12551" width="0" hidden="1" customWidth="1"/>
    <col min="12552" max="12552" width="3.140625" customWidth="1"/>
    <col min="12553" max="12553" width="10.28515625" customWidth="1"/>
    <col min="12554" max="12554" width="11.42578125" customWidth="1"/>
    <col min="12555" max="12557" width="0" hidden="1" customWidth="1"/>
    <col min="12558" max="12558" width="25.42578125" customWidth="1"/>
    <col min="12559" max="12559" width="8" customWidth="1"/>
    <col min="12560" max="12561" width="8.140625" customWidth="1"/>
    <col min="12562" max="12562" width="12.7109375" customWidth="1"/>
    <col min="12804" max="12804" width="13" customWidth="1"/>
    <col min="12805" max="12805" width="1.140625" customWidth="1"/>
    <col min="12806" max="12807" width="0" hidden="1" customWidth="1"/>
    <col min="12808" max="12808" width="3.140625" customWidth="1"/>
    <col min="12809" max="12809" width="10.28515625" customWidth="1"/>
    <col min="12810" max="12810" width="11.42578125" customWidth="1"/>
    <col min="12811" max="12813" width="0" hidden="1" customWidth="1"/>
    <col min="12814" max="12814" width="25.42578125" customWidth="1"/>
    <col min="12815" max="12815" width="8" customWidth="1"/>
    <col min="12816" max="12817" width="8.140625" customWidth="1"/>
    <col min="12818" max="12818" width="12.7109375" customWidth="1"/>
    <col min="13060" max="13060" width="13" customWidth="1"/>
    <col min="13061" max="13061" width="1.140625" customWidth="1"/>
    <col min="13062" max="13063" width="0" hidden="1" customWidth="1"/>
    <col min="13064" max="13064" width="3.140625" customWidth="1"/>
    <col min="13065" max="13065" width="10.28515625" customWidth="1"/>
    <col min="13066" max="13066" width="11.42578125" customWidth="1"/>
    <col min="13067" max="13069" width="0" hidden="1" customWidth="1"/>
    <col min="13070" max="13070" width="25.42578125" customWidth="1"/>
    <col min="13071" max="13071" width="8" customWidth="1"/>
    <col min="13072" max="13073" width="8.140625" customWidth="1"/>
    <col min="13074" max="13074" width="12.7109375" customWidth="1"/>
    <col min="13316" max="13316" width="13" customWidth="1"/>
    <col min="13317" max="13317" width="1.140625" customWidth="1"/>
    <col min="13318" max="13319" width="0" hidden="1" customWidth="1"/>
    <col min="13320" max="13320" width="3.140625" customWidth="1"/>
    <col min="13321" max="13321" width="10.28515625" customWidth="1"/>
    <col min="13322" max="13322" width="11.42578125" customWidth="1"/>
    <col min="13323" max="13325" width="0" hidden="1" customWidth="1"/>
    <col min="13326" max="13326" width="25.42578125" customWidth="1"/>
    <col min="13327" max="13327" width="8" customWidth="1"/>
    <col min="13328" max="13329" width="8.140625" customWidth="1"/>
    <col min="13330" max="13330" width="12.7109375" customWidth="1"/>
    <col min="13572" max="13572" width="13" customWidth="1"/>
    <col min="13573" max="13573" width="1.140625" customWidth="1"/>
    <col min="13574" max="13575" width="0" hidden="1" customWidth="1"/>
    <col min="13576" max="13576" width="3.140625" customWidth="1"/>
    <col min="13577" max="13577" width="10.28515625" customWidth="1"/>
    <col min="13578" max="13578" width="11.42578125" customWidth="1"/>
    <col min="13579" max="13581" width="0" hidden="1" customWidth="1"/>
    <col min="13582" max="13582" width="25.42578125" customWidth="1"/>
    <col min="13583" max="13583" width="8" customWidth="1"/>
    <col min="13584" max="13585" width="8.140625" customWidth="1"/>
    <col min="13586" max="13586" width="12.7109375" customWidth="1"/>
    <col min="13828" max="13828" width="13" customWidth="1"/>
    <col min="13829" max="13829" width="1.140625" customWidth="1"/>
    <col min="13830" max="13831" width="0" hidden="1" customWidth="1"/>
    <col min="13832" max="13832" width="3.140625" customWidth="1"/>
    <col min="13833" max="13833" width="10.28515625" customWidth="1"/>
    <col min="13834" max="13834" width="11.42578125" customWidth="1"/>
    <col min="13835" max="13837" width="0" hidden="1" customWidth="1"/>
    <col min="13838" max="13838" width="25.42578125" customWidth="1"/>
    <col min="13839" max="13839" width="8" customWidth="1"/>
    <col min="13840" max="13841" width="8.140625" customWidth="1"/>
    <col min="13842" max="13842" width="12.7109375" customWidth="1"/>
    <col min="14084" max="14084" width="13" customWidth="1"/>
    <col min="14085" max="14085" width="1.140625" customWidth="1"/>
    <col min="14086" max="14087" width="0" hidden="1" customWidth="1"/>
    <col min="14088" max="14088" width="3.140625" customWidth="1"/>
    <col min="14089" max="14089" width="10.28515625" customWidth="1"/>
    <col min="14090" max="14090" width="11.42578125" customWidth="1"/>
    <col min="14091" max="14093" width="0" hidden="1" customWidth="1"/>
    <col min="14094" max="14094" width="25.42578125" customWidth="1"/>
    <col min="14095" max="14095" width="8" customWidth="1"/>
    <col min="14096" max="14097" width="8.140625" customWidth="1"/>
    <col min="14098" max="14098" width="12.7109375" customWidth="1"/>
    <col min="14340" max="14340" width="13" customWidth="1"/>
    <col min="14341" max="14341" width="1.140625" customWidth="1"/>
    <col min="14342" max="14343" width="0" hidden="1" customWidth="1"/>
    <col min="14344" max="14344" width="3.140625" customWidth="1"/>
    <col min="14345" max="14345" width="10.28515625" customWidth="1"/>
    <col min="14346" max="14346" width="11.42578125" customWidth="1"/>
    <col min="14347" max="14349" width="0" hidden="1" customWidth="1"/>
    <col min="14350" max="14350" width="25.42578125" customWidth="1"/>
    <col min="14351" max="14351" width="8" customWidth="1"/>
    <col min="14352" max="14353" width="8.140625" customWidth="1"/>
    <col min="14354" max="14354" width="12.7109375" customWidth="1"/>
    <col min="14596" max="14596" width="13" customWidth="1"/>
    <col min="14597" max="14597" width="1.140625" customWidth="1"/>
    <col min="14598" max="14599" width="0" hidden="1" customWidth="1"/>
    <col min="14600" max="14600" width="3.140625" customWidth="1"/>
    <col min="14601" max="14601" width="10.28515625" customWidth="1"/>
    <col min="14602" max="14602" width="11.42578125" customWidth="1"/>
    <col min="14603" max="14605" width="0" hidden="1" customWidth="1"/>
    <col min="14606" max="14606" width="25.42578125" customWidth="1"/>
    <col min="14607" max="14607" width="8" customWidth="1"/>
    <col min="14608" max="14609" width="8.140625" customWidth="1"/>
    <col min="14610" max="14610" width="12.7109375" customWidth="1"/>
    <col min="14852" max="14852" width="13" customWidth="1"/>
    <col min="14853" max="14853" width="1.140625" customWidth="1"/>
    <col min="14854" max="14855" width="0" hidden="1" customWidth="1"/>
    <col min="14856" max="14856" width="3.140625" customWidth="1"/>
    <col min="14857" max="14857" width="10.28515625" customWidth="1"/>
    <col min="14858" max="14858" width="11.42578125" customWidth="1"/>
    <col min="14859" max="14861" width="0" hidden="1" customWidth="1"/>
    <col min="14862" max="14862" width="25.42578125" customWidth="1"/>
    <col min="14863" max="14863" width="8" customWidth="1"/>
    <col min="14864" max="14865" width="8.140625" customWidth="1"/>
    <col min="14866" max="14866" width="12.7109375" customWidth="1"/>
    <col min="15108" max="15108" width="13" customWidth="1"/>
    <col min="15109" max="15109" width="1.140625" customWidth="1"/>
    <col min="15110" max="15111" width="0" hidden="1" customWidth="1"/>
    <col min="15112" max="15112" width="3.140625" customWidth="1"/>
    <col min="15113" max="15113" width="10.28515625" customWidth="1"/>
    <col min="15114" max="15114" width="11.42578125" customWidth="1"/>
    <col min="15115" max="15117" width="0" hidden="1" customWidth="1"/>
    <col min="15118" max="15118" width="25.42578125" customWidth="1"/>
    <col min="15119" max="15119" width="8" customWidth="1"/>
    <col min="15120" max="15121" width="8.140625" customWidth="1"/>
    <col min="15122" max="15122" width="12.7109375" customWidth="1"/>
    <col min="15364" max="15364" width="13" customWidth="1"/>
    <col min="15365" max="15365" width="1.140625" customWidth="1"/>
    <col min="15366" max="15367" width="0" hidden="1" customWidth="1"/>
    <col min="15368" max="15368" width="3.140625" customWidth="1"/>
    <col min="15369" max="15369" width="10.28515625" customWidth="1"/>
    <col min="15370" max="15370" width="11.42578125" customWidth="1"/>
    <col min="15371" max="15373" width="0" hidden="1" customWidth="1"/>
    <col min="15374" max="15374" width="25.42578125" customWidth="1"/>
    <col min="15375" max="15375" width="8" customWidth="1"/>
    <col min="15376" max="15377" width="8.140625" customWidth="1"/>
    <col min="15378" max="15378" width="12.7109375" customWidth="1"/>
    <col min="15620" max="15620" width="13" customWidth="1"/>
    <col min="15621" max="15621" width="1.140625" customWidth="1"/>
    <col min="15622" max="15623" width="0" hidden="1" customWidth="1"/>
    <col min="15624" max="15624" width="3.140625" customWidth="1"/>
    <col min="15625" max="15625" width="10.28515625" customWidth="1"/>
    <col min="15626" max="15626" width="11.42578125" customWidth="1"/>
    <col min="15627" max="15629" width="0" hidden="1" customWidth="1"/>
    <col min="15630" max="15630" width="25.42578125" customWidth="1"/>
    <col min="15631" max="15631" width="8" customWidth="1"/>
    <col min="15632" max="15633" width="8.140625" customWidth="1"/>
    <col min="15634" max="15634" width="12.7109375" customWidth="1"/>
    <col min="15876" max="15876" width="13" customWidth="1"/>
    <col min="15877" max="15877" width="1.140625" customWidth="1"/>
    <col min="15878" max="15879" width="0" hidden="1" customWidth="1"/>
    <col min="15880" max="15880" width="3.140625" customWidth="1"/>
    <col min="15881" max="15881" width="10.28515625" customWidth="1"/>
    <col min="15882" max="15882" width="11.42578125" customWidth="1"/>
    <col min="15883" max="15885" width="0" hidden="1" customWidth="1"/>
    <col min="15886" max="15886" width="25.42578125" customWidth="1"/>
    <col min="15887" max="15887" width="8" customWidth="1"/>
    <col min="15888" max="15889" width="8.140625" customWidth="1"/>
    <col min="15890" max="15890" width="12.7109375" customWidth="1"/>
    <col min="16132" max="16132" width="13" customWidth="1"/>
    <col min="16133" max="16133" width="1.140625" customWidth="1"/>
    <col min="16134" max="16135" width="0" hidden="1" customWidth="1"/>
    <col min="16136" max="16136" width="3.140625" customWidth="1"/>
    <col min="16137" max="16137" width="10.28515625" customWidth="1"/>
    <col min="16138" max="16138" width="11.42578125" customWidth="1"/>
    <col min="16139" max="16141" width="0" hidden="1" customWidth="1"/>
    <col min="16142" max="16142" width="25.42578125" customWidth="1"/>
    <col min="16143" max="16143" width="8" customWidth="1"/>
    <col min="16144" max="16145" width="8.140625" customWidth="1"/>
    <col min="16146" max="16146" width="12.7109375" customWidth="1"/>
  </cols>
  <sheetData>
    <row r="1" spans="1:21" s="457" customFormat="1" ht="18" x14ac:dyDescent="0.25">
      <c r="A1" s="454" t="s">
        <v>363</v>
      </c>
      <c r="B1" s="455"/>
      <c r="C1" s="455"/>
      <c r="D1" s="455"/>
      <c r="E1" s="455"/>
      <c r="F1" s="455"/>
      <c r="G1" s="455"/>
      <c r="H1" s="455"/>
      <c r="I1" s="455"/>
      <c r="J1" s="456"/>
      <c r="K1" s="456"/>
    </row>
    <row r="2" spans="1:21" ht="18" x14ac:dyDescent="0.25">
      <c r="A2" s="458"/>
      <c r="B2" s="458"/>
      <c r="C2" s="458"/>
      <c r="D2" s="458"/>
      <c r="E2" s="458"/>
      <c r="F2" s="458"/>
      <c r="G2" s="458"/>
      <c r="H2" s="458"/>
      <c r="I2" s="458"/>
      <c r="L2" s="459" t="s">
        <v>364</v>
      </c>
      <c r="M2" s="32"/>
    </row>
    <row r="3" spans="1:21" ht="18.75" x14ac:dyDescent="0.3">
      <c r="A3" s="460"/>
      <c r="B3" s="461"/>
      <c r="C3" s="461"/>
      <c r="D3" s="462"/>
      <c r="E3" s="461" t="s">
        <v>365</v>
      </c>
      <c r="F3" s="461"/>
      <c r="G3" s="462"/>
      <c r="H3" s="461" t="s">
        <v>366</v>
      </c>
      <c r="I3" s="461"/>
      <c r="J3" s="463"/>
      <c r="K3" s="464" t="s">
        <v>367</v>
      </c>
      <c r="L3" s="464" t="s">
        <v>368</v>
      </c>
      <c r="M3" s="464" t="s">
        <v>369</v>
      </c>
      <c r="N3" s="465" t="s">
        <v>370</v>
      </c>
    </row>
    <row r="4" spans="1:21" ht="30.75" x14ac:dyDescent="0.3">
      <c r="A4" s="466" t="s">
        <v>66</v>
      </c>
      <c r="B4" s="3"/>
      <c r="C4" s="3"/>
      <c r="D4" s="467"/>
      <c r="E4" s="3" t="s">
        <v>371</v>
      </c>
      <c r="F4" s="3"/>
      <c r="G4" s="467"/>
      <c r="H4" s="3" t="s">
        <v>372</v>
      </c>
      <c r="I4" s="3"/>
      <c r="J4" s="468"/>
      <c r="K4" s="469">
        <v>26</v>
      </c>
      <c r="L4" s="469">
        <v>29</v>
      </c>
      <c r="M4" s="470">
        <v>11</v>
      </c>
      <c r="N4" s="471">
        <v>24</v>
      </c>
      <c r="O4" s="472" t="s">
        <v>373</v>
      </c>
      <c r="P4" s="472" t="s">
        <v>374</v>
      </c>
      <c r="Q4" s="472" t="s">
        <v>375</v>
      </c>
      <c r="R4" s="473" t="s">
        <v>376</v>
      </c>
      <c r="S4" s="473" t="s">
        <v>377</v>
      </c>
      <c r="T4" s="473" t="s">
        <v>378</v>
      </c>
      <c r="U4" s="473" t="s">
        <v>379</v>
      </c>
    </row>
    <row r="5" spans="1:21" ht="18.75" x14ac:dyDescent="0.3">
      <c r="A5" s="474"/>
      <c r="B5" s="475"/>
      <c r="C5" s="475"/>
      <c r="D5" s="476"/>
      <c r="E5" s="475" t="s">
        <v>380</v>
      </c>
      <c r="F5" s="475"/>
      <c r="G5" s="476"/>
      <c r="H5" s="475"/>
      <c r="I5" s="475"/>
      <c r="J5" s="477"/>
      <c r="K5" s="478" t="s">
        <v>381</v>
      </c>
      <c r="L5" s="478" t="s">
        <v>381</v>
      </c>
      <c r="M5" s="478" t="s">
        <v>381</v>
      </c>
      <c r="N5" s="478" t="s">
        <v>381</v>
      </c>
      <c r="O5" s="32">
        <v>251.5</v>
      </c>
      <c r="P5">
        <v>182.5</v>
      </c>
      <c r="Q5">
        <v>201</v>
      </c>
      <c r="R5" s="479">
        <v>167.5</v>
      </c>
      <c r="S5" t="s">
        <v>382</v>
      </c>
    </row>
    <row r="6" spans="1:21" ht="18" x14ac:dyDescent="0.25">
      <c r="A6" s="480" t="s">
        <v>383</v>
      </c>
      <c r="B6" s="481"/>
      <c r="C6" s="481"/>
      <c r="D6" s="481"/>
      <c r="E6" s="482"/>
      <c r="F6" s="483"/>
      <c r="G6" s="484"/>
      <c r="H6" s="483"/>
      <c r="I6" s="483"/>
      <c r="T6" t="s">
        <v>384</v>
      </c>
    </row>
    <row r="7" spans="1:21" ht="18.75" x14ac:dyDescent="0.3">
      <c r="A7" s="485" t="s">
        <v>385</v>
      </c>
      <c r="B7" s="485"/>
      <c r="C7" s="485"/>
      <c r="D7" s="485"/>
      <c r="E7" s="485"/>
      <c r="F7" s="486">
        <v>0.16500000000000001</v>
      </c>
      <c r="G7" s="467" t="s">
        <v>386</v>
      </c>
      <c r="H7" s="485"/>
      <c r="I7" s="487">
        <v>0.16500000000000001</v>
      </c>
      <c r="J7" s="488" t="s">
        <v>75</v>
      </c>
      <c r="K7" s="489">
        <f>I7*K4</f>
        <v>4.29</v>
      </c>
      <c r="L7" s="489">
        <f>I7*L4</f>
        <v>4.7850000000000001</v>
      </c>
      <c r="M7" s="489">
        <f>I7*M4</f>
        <v>1.8150000000000002</v>
      </c>
      <c r="N7" s="489">
        <f>I7*N4</f>
        <v>3.96</v>
      </c>
      <c r="S7">
        <f>228*0.165</f>
        <v>37.620000000000005</v>
      </c>
    </row>
    <row r="8" spans="1:21" ht="18.75" x14ac:dyDescent="0.3">
      <c r="A8" s="485" t="s">
        <v>387</v>
      </c>
      <c r="B8" s="485"/>
      <c r="C8" s="485"/>
      <c r="D8" s="485"/>
      <c r="E8" s="485"/>
      <c r="F8" s="486">
        <v>0.2</v>
      </c>
      <c r="G8" s="467" t="s">
        <v>386</v>
      </c>
      <c r="H8" s="485"/>
      <c r="I8" s="487">
        <v>0.2</v>
      </c>
      <c r="J8" s="488" t="s">
        <v>75</v>
      </c>
      <c r="K8" s="489">
        <f>I8*K4</f>
        <v>5.2</v>
      </c>
      <c r="L8" s="489">
        <f>I8*L4</f>
        <v>5.8000000000000007</v>
      </c>
      <c r="M8" s="489">
        <f>I8*M4</f>
        <v>2.2000000000000002</v>
      </c>
      <c r="N8" s="489">
        <f>I8*N4</f>
        <v>4.8000000000000007</v>
      </c>
      <c r="O8" s="490">
        <f>251.5*0.35</f>
        <v>88.024999999999991</v>
      </c>
      <c r="P8" s="490">
        <f>182.5*0.35</f>
        <v>63.874999999999993</v>
      </c>
      <c r="Q8">
        <f>201*0.35</f>
        <v>70.349999999999994</v>
      </c>
      <c r="R8" s="490">
        <f>167.5*0.35</f>
        <v>58.624999999999993</v>
      </c>
      <c r="T8">
        <v>8</v>
      </c>
    </row>
    <row r="9" spans="1:21" ht="18.75" x14ac:dyDescent="0.3">
      <c r="A9" s="485" t="s">
        <v>388</v>
      </c>
      <c r="B9" s="485"/>
      <c r="C9" s="485"/>
      <c r="D9" s="485"/>
      <c r="E9" s="485"/>
      <c r="F9" s="486">
        <v>0.17</v>
      </c>
      <c r="G9" s="467" t="s">
        <v>386</v>
      </c>
      <c r="H9" s="485"/>
      <c r="I9" s="487">
        <v>0.17</v>
      </c>
      <c r="J9" s="488" t="s">
        <v>75</v>
      </c>
      <c r="K9" s="489">
        <f>I9*K4</f>
        <v>4.42</v>
      </c>
      <c r="L9" s="489">
        <f>I9*L4</f>
        <v>4.9300000000000006</v>
      </c>
      <c r="M9" s="489">
        <f>I9*M4</f>
        <v>1.87</v>
      </c>
      <c r="N9" s="489">
        <f>I9*N4</f>
        <v>4.08</v>
      </c>
    </row>
    <row r="10" spans="1:21" ht="18.75" x14ac:dyDescent="0.3">
      <c r="A10" s="485" t="s">
        <v>389</v>
      </c>
      <c r="B10" s="485"/>
      <c r="C10" s="485"/>
      <c r="D10" s="485"/>
      <c r="E10" s="485"/>
      <c r="F10" s="486">
        <v>0.18</v>
      </c>
      <c r="G10" s="467" t="s">
        <v>386</v>
      </c>
      <c r="H10" s="485"/>
      <c r="I10" s="487">
        <v>0.18</v>
      </c>
      <c r="J10" s="488" t="s">
        <v>75</v>
      </c>
      <c r="K10" s="489">
        <f>I10*K4</f>
        <v>4.68</v>
      </c>
      <c r="L10" s="489">
        <f>I10*L4</f>
        <v>5.22</v>
      </c>
      <c r="M10" s="489">
        <f>I10*M4</f>
        <v>1.98</v>
      </c>
      <c r="N10" s="489">
        <f>I10*N4</f>
        <v>4.32</v>
      </c>
      <c r="R10" t="s">
        <v>390</v>
      </c>
      <c r="U10" t="s">
        <v>391</v>
      </c>
    </row>
    <row r="11" spans="1:21" ht="18.75" x14ac:dyDescent="0.3">
      <c r="A11" s="485" t="s">
        <v>392</v>
      </c>
      <c r="B11" s="485"/>
      <c r="C11" s="485"/>
      <c r="D11" s="485"/>
      <c r="E11" s="485"/>
      <c r="F11" s="485"/>
      <c r="G11" s="467"/>
      <c r="H11" s="485"/>
      <c r="I11" s="491"/>
      <c r="J11" s="488"/>
      <c r="K11" s="32"/>
      <c r="L11" s="32"/>
      <c r="M11" s="32"/>
      <c r="N11" s="32"/>
      <c r="R11" t="s">
        <v>393</v>
      </c>
      <c r="S11">
        <v>12</v>
      </c>
    </row>
    <row r="12" spans="1:21" ht="18" x14ac:dyDescent="0.25">
      <c r="A12" s="483"/>
      <c r="B12" s="483"/>
      <c r="C12" s="483"/>
      <c r="D12" s="483"/>
      <c r="E12" s="483"/>
      <c r="F12" s="483"/>
      <c r="G12" s="484"/>
      <c r="H12" s="483"/>
      <c r="I12" s="492"/>
      <c r="J12" s="493"/>
      <c r="K12" s="32"/>
      <c r="L12" s="32"/>
      <c r="M12" s="32"/>
      <c r="N12" s="32"/>
      <c r="R12" t="s">
        <v>394</v>
      </c>
      <c r="S12">
        <v>12</v>
      </c>
    </row>
    <row r="13" spans="1:21" ht="18" x14ac:dyDescent="0.25">
      <c r="A13" s="481" t="s">
        <v>395</v>
      </c>
      <c r="B13" s="481"/>
      <c r="C13" s="481"/>
      <c r="D13" s="481"/>
      <c r="E13" s="482"/>
      <c r="F13" s="483"/>
      <c r="G13" s="484"/>
      <c r="H13" s="483"/>
      <c r="I13" s="492"/>
      <c r="J13" s="493"/>
      <c r="K13" s="32"/>
      <c r="L13" s="32"/>
      <c r="M13" s="32"/>
      <c r="N13" s="32"/>
      <c r="R13" t="s">
        <v>396</v>
      </c>
      <c r="S13">
        <v>13.62</v>
      </c>
    </row>
    <row r="14" spans="1:21" ht="18.75" x14ac:dyDescent="0.3">
      <c r="A14" s="485" t="s">
        <v>397</v>
      </c>
      <c r="B14" s="485"/>
      <c r="C14" s="485"/>
      <c r="D14" s="485"/>
      <c r="E14" s="485"/>
      <c r="F14" s="485" t="s">
        <v>398</v>
      </c>
      <c r="G14" s="467"/>
      <c r="H14" s="485"/>
      <c r="I14" s="494">
        <v>2</v>
      </c>
      <c r="J14" s="488" t="s">
        <v>70</v>
      </c>
      <c r="K14" s="489">
        <f>I14*K4</f>
        <v>52</v>
      </c>
      <c r="L14" s="489">
        <f>I14*L4</f>
        <v>58</v>
      </c>
      <c r="M14" s="489">
        <f>I14*M4</f>
        <v>22</v>
      </c>
      <c r="N14" s="489">
        <f>I14*N4</f>
        <v>48</v>
      </c>
      <c r="R14" t="s">
        <v>399</v>
      </c>
      <c r="T14">
        <v>8</v>
      </c>
    </row>
    <row r="15" spans="1:21" ht="18.75" x14ac:dyDescent="0.3">
      <c r="A15" s="485" t="s">
        <v>400</v>
      </c>
      <c r="B15" s="485"/>
      <c r="C15" s="485"/>
      <c r="D15" s="485"/>
      <c r="E15" s="485"/>
      <c r="F15" s="485" t="s">
        <v>401</v>
      </c>
      <c r="G15" s="467"/>
      <c r="H15" s="485"/>
      <c r="I15" s="494">
        <v>2</v>
      </c>
      <c r="J15" s="488" t="s">
        <v>72</v>
      </c>
      <c r="K15" s="489">
        <f>I15*K4</f>
        <v>52</v>
      </c>
      <c r="L15" s="489">
        <f>I15*L4</f>
        <v>58</v>
      </c>
      <c r="M15" s="489">
        <f>I15*M4</f>
        <v>22</v>
      </c>
      <c r="N15" s="489">
        <f>I15*N4</f>
        <v>48</v>
      </c>
      <c r="R15" t="s">
        <v>402</v>
      </c>
      <c r="U15" t="s">
        <v>403</v>
      </c>
    </row>
    <row r="16" spans="1:21" ht="18.75" x14ac:dyDescent="0.3">
      <c r="A16" s="485" t="s">
        <v>404</v>
      </c>
      <c r="B16" s="485"/>
      <c r="C16" s="485"/>
      <c r="D16" s="485"/>
      <c r="E16" s="485"/>
      <c r="F16" s="485" t="s">
        <v>405</v>
      </c>
      <c r="G16" s="467"/>
      <c r="H16" s="485"/>
      <c r="I16" s="494">
        <v>2</v>
      </c>
      <c r="J16" s="488" t="s">
        <v>72</v>
      </c>
      <c r="K16" s="489">
        <f>I16*K4</f>
        <v>52</v>
      </c>
      <c r="L16" s="489">
        <f>I16*L4</f>
        <v>58</v>
      </c>
      <c r="M16" s="489">
        <f>I16*M4</f>
        <v>22</v>
      </c>
      <c r="N16" s="489">
        <f>I16*N4</f>
        <v>48</v>
      </c>
    </row>
    <row r="17" spans="1:18" ht="18.75" x14ac:dyDescent="0.3">
      <c r="A17" s="485" t="s">
        <v>406</v>
      </c>
      <c r="B17" s="485"/>
      <c r="C17" s="485"/>
      <c r="D17" s="485"/>
      <c r="E17" s="485"/>
      <c r="F17" s="485" t="s">
        <v>407</v>
      </c>
      <c r="G17" s="467"/>
      <c r="H17" s="485"/>
      <c r="I17" s="494">
        <v>0.5</v>
      </c>
      <c r="J17" s="488" t="s">
        <v>75</v>
      </c>
      <c r="K17" s="489">
        <f>I17*K4</f>
        <v>13</v>
      </c>
      <c r="L17" s="489">
        <f>I17*L4</f>
        <v>14.5</v>
      </c>
      <c r="M17" s="489">
        <f>I17*M4</f>
        <v>5.5</v>
      </c>
      <c r="N17" s="489">
        <f>I17*N4</f>
        <v>12</v>
      </c>
    </row>
    <row r="18" spans="1:18" ht="18.75" x14ac:dyDescent="0.3">
      <c r="A18" s="485" t="s">
        <v>408</v>
      </c>
      <c r="B18" s="485"/>
      <c r="C18" s="485"/>
      <c r="D18" s="485"/>
      <c r="E18" s="485"/>
      <c r="F18" s="485" t="s">
        <v>409</v>
      </c>
      <c r="G18" s="467"/>
      <c r="H18" s="485"/>
      <c r="I18" s="494" t="s">
        <v>410</v>
      </c>
      <c r="J18" s="488"/>
      <c r="K18" s="489"/>
      <c r="L18" s="489"/>
      <c r="M18" s="489"/>
      <c r="N18" s="489"/>
    </row>
    <row r="19" spans="1:18" ht="18.75" x14ac:dyDescent="0.3">
      <c r="A19" s="485" t="s">
        <v>73</v>
      </c>
      <c r="B19" s="485"/>
      <c r="C19" s="485"/>
      <c r="D19" s="485"/>
      <c r="E19" s="485"/>
      <c r="F19" s="485" t="s">
        <v>411</v>
      </c>
      <c r="G19" s="467"/>
      <c r="H19" s="485"/>
      <c r="I19" s="494">
        <v>2</v>
      </c>
      <c r="J19" s="488" t="s">
        <v>59</v>
      </c>
      <c r="K19" s="489">
        <f>I19*K4</f>
        <v>52</v>
      </c>
      <c r="L19" s="489">
        <f>I19*L4</f>
        <v>58</v>
      </c>
      <c r="M19" s="489">
        <f>I19*M4</f>
        <v>22</v>
      </c>
      <c r="N19" s="489">
        <f>I19*N4</f>
        <v>48</v>
      </c>
      <c r="P19" t="s">
        <v>412</v>
      </c>
      <c r="R19">
        <f>88.03+63.88+70.35+38.88</f>
        <v>261.14</v>
      </c>
    </row>
    <row r="20" spans="1:18" ht="18.75" x14ac:dyDescent="0.3">
      <c r="A20" s="485" t="s">
        <v>293</v>
      </c>
      <c r="B20" s="485"/>
      <c r="C20" s="485"/>
      <c r="D20" s="485"/>
      <c r="E20" s="485"/>
      <c r="F20" s="485" t="s">
        <v>413</v>
      </c>
      <c r="G20" s="467"/>
      <c r="H20" s="485"/>
      <c r="I20" s="494">
        <v>0.5</v>
      </c>
      <c r="J20" s="488" t="s">
        <v>75</v>
      </c>
      <c r="K20" s="489">
        <f>I20*K4</f>
        <v>13</v>
      </c>
      <c r="L20" s="489">
        <f>I20*L4</f>
        <v>14.5</v>
      </c>
      <c r="M20" s="489">
        <f>I20*M4</f>
        <v>5.5</v>
      </c>
      <c r="N20" s="489">
        <f>I20*N4</f>
        <v>12</v>
      </c>
      <c r="P20" t="s">
        <v>414</v>
      </c>
      <c r="R20">
        <v>24.6</v>
      </c>
    </row>
    <row r="21" spans="1:18" ht="18.75" x14ac:dyDescent="0.3">
      <c r="A21" s="485" t="s">
        <v>415</v>
      </c>
      <c r="B21" s="485"/>
      <c r="C21" s="485"/>
      <c r="D21" s="485"/>
      <c r="E21" s="485"/>
      <c r="F21" s="485" t="s">
        <v>411</v>
      </c>
      <c r="G21" s="467"/>
      <c r="H21" s="485"/>
      <c r="I21" s="494">
        <v>1</v>
      </c>
      <c r="J21" s="488" t="s">
        <v>59</v>
      </c>
      <c r="K21" s="489">
        <f>I21*K4</f>
        <v>26</v>
      </c>
      <c r="L21" s="489">
        <f>I21*L4</f>
        <v>29</v>
      </c>
      <c r="M21" s="489">
        <f>I21*M4</f>
        <v>11</v>
      </c>
      <c r="N21" s="489">
        <f>I21*N4</f>
        <v>24</v>
      </c>
      <c r="P21" t="s">
        <v>416</v>
      </c>
      <c r="R21">
        <v>15.15</v>
      </c>
    </row>
    <row r="22" spans="1:18" ht="18.75" x14ac:dyDescent="0.3">
      <c r="A22" s="485" t="s">
        <v>417</v>
      </c>
      <c r="B22" s="485"/>
      <c r="C22" s="485"/>
      <c r="D22" s="485"/>
      <c r="E22" s="485"/>
      <c r="F22" s="485" t="s">
        <v>411</v>
      </c>
      <c r="G22" s="467"/>
      <c r="H22" s="485"/>
      <c r="I22" s="494">
        <v>1</v>
      </c>
      <c r="J22" s="488" t="s">
        <v>59</v>
      </c>
      <c r="K22" s="489">
        <f>I22*K4</f>
        <v>26</v>
      </c>
      <c r="L22" s="489">
        <f>I22*L4</f>
        <v>29</v>
      </c>
      <c r="M22" s="489">
        <f>I22*M4</f>
        <v>11</v>
      </c>
      <c r="N22" s="489">
        <f>I22*N4</f>
        <v>24</v>
      </c>
      <c r="P22" t="s">
        <v>396</v>
      </c>
      <c r="R22">
        <v>13.62</v>
      </c>
    </row>
    <row r="23" spans="1:18" ht="18.75" x14ac:dyDescent="0.3">
      <c r="A23" s="485" t="s">
        <v>418</v>
      </c>
      <c r="B23" s="485"/>
      <c r="C23" s="485"/>
      <c r="D23" s="485"/>
      <c r="E23" s="485"/>
      <c r="F23" s="485" t="s">
        <v>419</v>
      </c>
      <c r="G23" s="467"/>
      <c r="H23" s="485"/>
      <c r="I23" s="494">
        <v>1</v>
      </c>
      <c r="J23" s="488" t="s">
        <v>420</v>
      </c>
      <c r="K23" s="489">
        <f>I23*K4</f>
        <v>26</v>
      </c>
      <c r="L23" s="489">
        <f>I23*L4</f>
        <v>29</v>
      </c>
      <c r="M23" s="489">
        <f>I23*M4</f>
        <v>11</v>
      </c>
      <c r="N23" s="489">
        <f>I23*N4</f>
        <v>24</v>
      </c>
      <c r="P23" t="s">
        <v>384</v>
      </c>
      <c r="R23">
        <v>12</v>
      </c>
    </row>
    <row r="24" spans="1:18" ht="18.75" x14ac:dyDescent="0.3">
      <c r="A24" s="485" t="s">
        <v>76</v>
      </c>
      <c r="B24" s="485"/>
      <c r="C24" s="485"/>
      <c r="D24" s="485"/>
      <c r="E24" s="485"/>
      <c r="F24" s="485" t="s">
        <v>411</v>
      </c>
      <c r="G24" s="467"/>
      <c r="H24" s="485"/>
      <c r="I24" s="494">
        <v>1</v>
      </c>
      <c r="J24" s="488" t="s">
        <v>59</v>
      </c>
      <c r="K24" s="489">
        <f>I24*K4</f>
        <v>26</v>
      </c>
      <c r="L24" s="489">
        <f>I24*L4</f>
        <v>29</v>
      </c>
      <c r="M24" s="489">
        <f>I24*M4</f>
        <v>11</v>
      </c>
      <c r="N24" s="489">
        <f>I24*N4</f>
        <v>24</v>
      </c>
      <c r="P24" t="s">
        <v>421</v>
      </c>
      <c r="R24">
        <v>1</v>
      </c>
    </row>
    <row r="25" spans="1:18" ht="18.75" x14ac:dyDescent="0.3">
      <c r="A25" s="485" t="s">
        <v>77</v>
      </c>
      <c r="B25" s="485"/>
      <c r="C25" s="485"/>
      <c r="D25" s="485"/>
      <c r="E25" s="485"/>
      <c r="F25" s="485" t="s">
        <v>422</v>
      </c>
      <c r="G25" s="467"/>
      <c r="H25" s="485"/>
      <c r="I25" s="494">
        <v>1</v>
      </c>
      <c r="J25" s="488" t="s">
        <v>59</v>
      </c>
      <c r="K25" s="489">
        <f>I25*K4</f>
        <v>26</v>
      </c>
      <c r="L25" s="489">
        <f>I25*L4</f>
        <v>29</v>
      </c>
      <c r="M25" s="489">
        <f>I25*M4</f>
        <v>11</v>
      </c>
      <c r="N25" s="489">
        <f>I25*N4</f>
        <v>24</v>
      </c>
      <c r="P25" t="s">
        <v>423</v>
      </c>
      <c r="R25" t="s">
        <v>424</v>
      </c>
    </row>
    <row r="26" spans="1:18" ht="18" x14ac:dyDescent="0.25">
      <c r="A26" s="481" t="s">
        <v>425</v>
      </c>
      <c r="B26" s="481"/>
      <c r="C26" s="481"/>
      <c r="D26" s="483"/>
      <c r="E26" s="483"/>
      <c r="F26" s="483"/>
      <c r="G26" s="484"/>
      <c r="H26" s="483"/>
      <c r="I26" s="492"/>
      <c r="J26" s="493"/>
      <c r="K26" s="489"/>
      <c r="L26" s="489"/>
      <c r="M26" s="489"/>
      <c r="N26" s="489"/>
      <c r="P26" t="s">
        <v>426</v>
      </c>
      <c r="R26" t="s">
        <v>427</v>
      </c>
    </row>
    <row r="27" spans="1:18" ht="18.75" x14ac:dyDescent="0.3">
      <c r="A27" s="485" t="s">
        <v>404</v>
      </c>
      <c r="B27" s="485"/>
      <c r="C27" s="485"/>
      <c r="D27" s="485"/>
      <c r="E27" s="485"/>
      <c r="F27" s="485" t="s">
        <v>428</v>
      </c>
      <c r="G27" s="467"/>
      <c r="H27" s="485"/>
      <c r="I27" s="491" t="s">
        <v>410</v>
      </c>
      <c r="J27" s="488"/>
      <c r="K27" s="489"/>
      <c r="L27" s="489"/>
      <c r="M27" s="489"/>
      <c r="N27" s="489"/>
      <c r="P27" t="s">
        <v>429</v>
      </c>
      <c r="R27" t="s">
        <v>424</v>
      </c>
    </row>
    <row r="28" spans="1:18" ht="18.75" x14ac:dyDescent="0.3">
      <c r="A28" s="485" t="s">
        <v>397</v>
      </c>
      <c r="B28" s="485"/>
      <c r="C28" s="485"/>
      <c r="D28" s="485"/>
      <c r="E28" s="485"/>
      <c r="F28" s="485" t="s">
        <v>413</v>
      </c>
      <c r="G28" s="467"/>
      <c r="H28" s="485"/>
      <c r="I28" s="491" t="s">
        <v>410</v>
      </c>
      <c r="J28" s="488"/>
      <c r="K28" s="489"/>
      <c r="L28" s="489"/>
      <c r="M28" s="489"/>
      <c r="N28" s="489"/>
      <c r="P28" t="s">
        <v>430</v>
      </c>
      <c r="R28" t="s">
        <v>431</v>
      </c>
    </row>
    <row r="29" spans="1:18" ht="18.75" x14ac:dyDescent="0.3">
      <c r="A29" s="485" t="s">
        <v>406</v>
      </c>
      <c r="B29" s="485"/>
      <c r="C29" s="485"/>
      <c r="D29" s="485"/>
      <c r="E29" s="485"/>
      <c r="F29" s="485" t="s">
        <v>413</v>
      </c>
      <c r="G29" s="467"/>
      <c r="H29" s="485"/>
      <c r="I29" s="491" t="s">
        <v>432</v>
      </c>
      <c r="J29" s="488"/>
      <c r="K29" s="489"/>
      <c r="L29" s="489"/>
      <c r="M29" s="489"/>
      <c r="N29" s="489"/>
      <c r="P29" t="s">
        <v>433</v>
      </c>
      <c r="R29" t="s">
        <v>434</v>
      </c>
    </row>
    <row r="30" spans="1:18" ht="18" x14ac:dyDescent="0.25">
      <c r="A30" s="481" t="s">
        <v>435</v>
      </c>
      <c r="B30" s="481"/>
      <c r="C30" s="481"/>
      <c r="D30" s="483"/>
      <c r="E30" s="483"/>
      <c r="F30" s="483"/>
      <c r="G30" s="484"/>
      <c r="H30" s="483"/>
      <c r="I30" s="492"/>
      <c r="J30" s="493"/>
      <c r="K30" s="489"/>
      <c r="L30" s="489"/>
      <c r="M30" s="489"/>
      <c r="N30" s="489"/>
      <c r="P30" t="s">
        <v>436</v>
      </c>
      <c r="R30" t="s">
        <v>434</v>
      </c>
    </row>
    <row r="31" spans="1:18" ht="18.75" x14ac:dyDescent="0.3">
      <c r="A31" s="485" t="s">
        <v>404</v>
      </c>
      <c r="B31" s="485"/>
      <c r="C31" s="485"/>
      <c r="D31" s="485"/>
      <c r="E31" s="485"/>
      <c r="F31" s="485" t="s">
        <v>401</v>
      </c>
      <c r="G31" s="467"/>
      <c r="H31" s="485"/>
      <c r="I31" s="491" t="s">
        <v>410</v>
      </c>
      <c r="J31" s="488"/>
      <c r="K31" s="489"/>
      <c r="L31" s="489"/>
      <c r="M31" s="489"/>
      <c r="N31" s="489"/>
      <c r="P31" t="s">
        <v>437</v>
      </c>
      <c r="R31" t="s">
        <v>438</v>
      </c>
    </row>
    <row r="32" spans="1:18" ht="18.75" x14ac:dyDescent="0.3">
      <c r="A32" s="485" t="s">
        <v>397</v>
      </c>
      <c r="B32" s="485"/>
      <c r="C32" s="485"/>
      <c r="D32" s="485"/>
      <c r="E32" s="485"/>
      <c r="F32" s="485" t="s">
        <v>439</v>
      </c>
      <c r="G32" s="467"/>
      <c r="H32" s="485"/>
      <c r="I32" s="491" t="s">
        <v>410</v>
      </c>
      <c r="J32" s="488"/>
      <c r="K32" s="489"/>
      <c r="L32" s="489"/>
      <c r="M32" s="489"/>
      <c r="N32" s="489"/>
    </row>
    <row r="33" spans="1:14" ht="18.75" x14ac:dyDescent="0.3">
      <c r="A33" s="485" t="s">
        <v>406</v>
      </c>
      <c r="B33" s="485"/>
      <c r="C33" s="485"/>
      <c r="D33" s="485"/>
      <c r="E33" s="485"/>
      <c r="F33" s="485" t="s">
        <v>439</v>
      </c>
      <c r="G33" s="467"/>
      <c r="H33" s="485"/>
      <c r="I33" s="491" t="s">
        <v>410</v>
      </c>
      <c r="J33" s="488"/>
      <c r="K33" s="489"/>
      <c r="L33" s="489"/>
      <c r="M33" s="489"/>
      <c r="N33" s="489"/>
    </row>
    <row r="34" spans="1:14" ht="18" x14ac:dyDescent="0.25">
      <c r="A34" s="483"/>
      <c r="B34" s="483"/>
      <c r="C34" s="483"/>
      <c r="D34" s="483"/>
      <c r="E34" s="483"/>
      <c r="F34" s="483"/>
      <c r="G34" s="484"/>
      <c r="H34" s="483"/>
      <c r="I34" s="492"/>
      <c r="J34" s="493"/>
      <c r="K34" s="489"/>
      <c r="L34" s="489"/>
      <c r="M34" s="489"/>
      <c r="N34" s="489"/>
    </row>
    <row r="35" spans="1:14" ht="18" x14ac:dyDescent="0.25">
      <c r="A35" s="481" t="s">
        <v>440</v>
      </c>
      <c r="B35" s="481"/>
      <c r="C35" s="481"/>
      <c r="D35" s="481"/>
      <c r="E35" s="481"/>
      <c r="F35" s="482"/>
      <c r="G35" s="484"/>
      <c r="H35" s="483"/>
      <c r="I35" s="492"/>
      <c r="J35" s="493"/>
      <c r="K35" s="489"/>
      <c r="L35" s="489"/>
      <c r="M35" s="489"/>
      <c r="N35" s="489"/>
    </row>
    <row r="36" spans="1:14" ht="18.75" x14ac:dyDescent="0.3">
      <c r="A36" s="485" t="s">
        <v>441</v>
      </c>
      <c r="B36" s="485"/>
      <c r="C36" s="485"/>
      <c r="D36" s="485"/>
      <c r="E36" s="485"/>
      <c r="F36" s="485" t="s">
        <v>442</v>
      </c>
      <c r="G36" s="467"/>
      <c r="H36" s="485"/>
      <c r="I36" s="494">
        <v>1.5</v>
      </c>
      <c r="J36" s="488" t="s">
        <v>443</v>
      </c>
      <c r="K36" s="489">
        <f>I36*K4</f>
        <v>39</v>
      </c>
      <c r="L36" s="489">
        <f>I36*L4</f>
        <v>43.5</v>
      </c>
      <c r="M36" s="489">
        <f>I36*M4</f>
        <v>16.5</v>
      </c>
      <c r="N36" s="489">
        <f>I36*N4</f>
        <v>36</v>
      </c>
    </row>
    <row r="37" spans="1:14" ht="18.75" x14ac:dyDescent="0.3">
      <c r="A37" s="485" t="s">
        <v>444</v>
      </c>
      <c r="B37" s="485"/>
      <c r="C37" s="485"/>
      <c r="D37" s="485"/>
      <c r="E37" s="485"/>
      <c r="F37" s="485" t="s">
        <v>445</v>
      </c>
      <c r="G37" s="467"/>
      <c r="H37" s="485"/>
      <c r="I37" s="494">
        <v>1.5</v>
      </c>
      <c r="J37" s="488" t="s">
        <v>443</v>
      </c>
      <c r="K37" s="489">
        <f>I37*K4</f>
        <v>39</v>
      </c>
      <c r="L37" s="489">
        <f>I37*L4</f>
        <v>43.5</v>
      </c>
      <c r="M37" s="489">
        <f>I37*M4</f>
        <v>16.5</v>
      </c>
      <c r="N37" s="489">
        <f>I37*N4</f>
        <v>36</v>
      </c>
    </row>
    <row r="38" spans="1:14" ht="18.75" x14ac:dyDescent="0.3">
      <c r="A38" s="485" t="s">
        <v>446</v>
      </c>
      <c r="B38" s="485"/>
      <c r="C38" s="485"/>
      <c r="D38" s="485"/>
      <c r="E38" s="485"/>
      <c r="F38" s="485" t="s">
        <v>447</v>
      </c>
      <c r="G38" s="467"/>
      <c r="H38" s="485"/>
      <c r="I38" s="494">
        <v>10</v>
      </c>
      <c r="J38" s="488" t="s">
        <v>443</v>
      </c>
      <c r="K38" s="489">
        <f>I38*K4</f>
        <v>260</v>
      </c>
      <c r="L38" s="489">
        <f>I38*L4</f>
        <v>290</v>
      </c>
      <c r="M38" s="489">
        <f>I38*M4</f>
        <v>110</v>
      </c>
      <c r="N38" s="489">
        <f>I38*N4</f>
        <v>240</v>
      </c>
    </row>
    <row r="39" spans="1:14" ht="18.75" x14ac:dyDescent="0.3">
      <c r="A39" s="485" t="s">
        <v>448</v>
      </c>
      <c r="B39" s="485"/>
      <c r="C39" s="485"/>
      <c r="D39" s="485"/>
      <c r="E39" s="485"/>
      <c r="F39" s="485" t="s">
        <v>449</v>
      </c>
      <c r="G39" s="467"/>
      <c r="H39" s="485"/>
      <c r="I39" s="494" t="s">
        <v>450</v>
      </c>
      <c r="J39" s="488" t="s">
        <v>443</v>
      </c>
      <c r="K39" s="489" t="s">
        <v>451</v>
      </c>
      <c r="L39" s="489" t="s">
        <v>452</v>
      </c>
      <c r="M39" s="489" t="s">
        <v>453</v>
      </c>
      <c r="N39" s="489" t="s">
        <v>454</v>
      </c>
    </row>
    <row r="40" spans="1:14" ht="18.75" x14ac:dyDescent="0.3">
      <c r="A40" s="485" t="s">
        <v>455</v>
      </c>
      <c r="B40" s="485"/>
      <c r="C40" s="485"/>
      <c r="D40" s="485"/>
      <c r="E40" s="485"/>
      <c r="F40" s="485" t="s">
        <v>456</v>
      </c>
      <c r="G40" s="467"/>
      <c r="H40" s="485"/>
      <c r="I40" s="494">
        <v>0.5</v>
      </c>
      <c r="J40" s="488" t="s">
        <v>443</v>
      </c>
      <c r="K40" s="489">
        <f>I40*K4</f>
        <v>13</v>
      </c>
      <c r="L40" s="489">
        <f>I40*L4</f>
        <v>14.5</v>
      </c>
      <c r="M40" s="489">
        <f>I40*M4</f>
        <v>5.5</v>
      </c>
      <c r="N40" s="489">
        <f>I40*N4</f>
        <v>12</v>
      </c>
    </row>
    <row r="41" spans="1:14" ht="18.75" x14ac:dyDescent="0.3">
      <c r="A41" s="485" t="s">
        <v>457</v>
      </c>
      <c r="B41" s="485"/>
      <c r="C41" s="485"/>
      <c r="D41" s="485"/>
      <c r="E41" s="485"/>
      <c r="F41" s="485" t="s">
        <v>447</v>
      </c>
      <c r="G41" s="467"/>
      <c r="H41" s="485"/>
      <c r="I41" s="494">
        <v>10</v>
      </c>
      <c r="J41" s="488" t="s">
        <v>443</v>
      </c>
      <c r="K41" s="489">
        <f>I41*K4</f>
        <v>260</v>
      </c>
      <c r="L41" s="489">
        <f>I41*L4</f>
        <v>290</v>
      </c>
      <c r="M41" s="489">
        <f>I41*M4</f>
        <v>110</v>
      </c>
      <c r="N41" s="489">
        <f>I41*N4</f>
        <v>240</v>
      </c>
    </row>
    <row r="42" spans="1:14" ht="18.75" x14ac:dyDescent="0.3">
      <c r="A42" s="485" t="s">
        <v>458</v>
      </c>
      <c r="B42" s="485"/>
      <c r="C42" s="485"/>
      <c r="D42" s="485"/>
      <c r="E42" s="485"/>
      <c r="F42" s="485" t="s">
        <v>459</v>
      </c>
      <c r="G42" s="467"/>
      <c r="H42" s="485"/>
      <c r="I42" s="494" t="s">
        <v>460</v>
      </c>
      <c r="J42" s="488" t="s">
        <v>443</v>
      </c>
      <c r="K42" s="489" t="s">
        <v>461</v>
      </c>
      <c r="L42" s="489" t="s">
        <v>462</v>
      </c>
      <c r="M42" s="489" t="s">
        <v>463</v>
      </c>
      <c r="N42" s="489" t="s">
        <v>464</v>
      </c>
    </row>
    <row r="43" spans="1:14" ht="18.75" x14ac:dyDescent="0.3">
      <c r="A43" s="485"/>
      <c r="B43" s="485"/>
      <c r="C43" s="485"/>
      <c r="D43" s="485"/>
      <c r="E43" s="485"/>
      <c r="F43" s="485"/>
      <c r="G43" s="467"/>
      <c r="H43" s="485"/>
      <c r="I43" s="491"/>
      <c r="J43" s="495"/>
      <c r="K43" s="489"/>
      <c r="L43" s="489"/>
      <c r="M43" s="489"/>
      <c r="N43" s="489"/>
    </row>
    <row r="44" spans="1:14" ht="18.75" x14ac:dyDescent="0.3">
      <c r="A44" s="485"/>
      <c r="B44" s="485"/>
      <c r="C44" s="485"/>
      <c r="D44" s="485"/>
      <c r="E44" s="485"/>
      <c r="F44" s="485"/>
      <c r="G44" s="467"/>
      <c r="H44" s="485"/>
      <c r="I44" s="491"/>
      <c r="J44" s="495"/>
      <c r="K44" s="489"/>
      <c r="L44" s="489"/>
      <c r="M44" s="489"/>
      <c r="N44" s="489"/>
    </row>
    <row r="45" spans="1:14" ht="18.75" x14ac:dyDescent="0.3">
      <c r="A45" s="485"/>
      <c r="B45" s="485"/>
      <c r="C45" s="485"/>
      <c r="D45" s="485"/>
      <c r="E45" s="485"/>
      <c r="F45" s="485"/>
      <c r="G45" s="467"/>
      <c r="H45" s="485"/>
      <c r="I45" s="485"/>
      <c r="J45" s="496"/>
    </row>
    <row r="46" spans="1:14" ht="18" x14ac:dyDescent="0.25">
      <c r="A46" s="483"/>
      <c r="B46" s="483"/>
      <c r="C46" s="483"/>
      <c r="D46" s="483"/>
      <c r="E46" s="483"/>
      <c r="F46" s="483"/>
      <c r="G46" s="483"/>
      <c r="H46" s="483"/>
      <c r="I46" s="483"/>
    </row>
    <row r="47" spans="1:14" ht="18" x14ac:dyDescent="0.25">
      <c r="A47" s="483"/>
      <c r="B47" s="483"/>
      <c r="C47" s="483"/>
      <c r="D47" s="483"/>
      <c r="E47" s="483"/>
      <c r="F47" s="483"/>
      <c r="G47" s="483"/>
      <c r="H47" s="483"/>
      <c r="I47" s="483"/>
    </row>
    <row r="48" spans="1:14" ht="18" x14ac:dyDescent="0.25">
      <c r="A48" s="483"/>
      <c r="B48" s="483"/>
      <c r="C48" s="483"/>
      <c r="D48" s="483"/>
      <c r="E48" s="483"/>
      <c r="F48" s="483"/>
      <c r="G48" s="483"/>
      <c r="H48" s="483"/>
      <c r="I48" s="483"/>
    </row>
    <row r="49" spans="1:9" ht="18" x14ac:dyDescent="0.25">
      <c r="A49" s="483"/>
      <c r="B49" s="483"/>
      <c r="C49" s="483"/>
      <c r="D49" s="483"/>
      <c r="E49" s="483"/>
      <c r="F49" s="483"/>
      <c r="G49" s="483"/>
      <c r="H49" s="483"/>
      <c r="I49" s="483"/>
    </row>
    <row r="50" spans="1:9" ht="18" x14ac:dyDescent="0.25">
      <c r="A50" s="483"/>
      <c r="B50" s="483"/>
      <c r="C50" s="483"/>
      <c r="D50" s="483"/>
      <c r="E50" s="483"/>
      <c r="F50" s="483"/>
      <c r="G50" s="483"/>
      <c r="H50" s="483"/>
      <c r="I50" s="483"/>
    </row>
    <row r="51" spans="1:9" ht="18" x14ac:dyDescent="0.25">
      <c r="A51" s="483"/>
      <c r="B51" s="483"/>
      <c r="C51" s="483"/>
      <c r="D51" s="483"/>
      <c r="E51" s="483"/>
      <c r="F51" s="483"/>
      <c r="G51" s="483"/>
      <c r="H51" s="483"/>
      <c r="I51" s="483"/>
    </row>
    <row r="52" spans="1:9" ht="18" x14ac:dyDescent="0.25">
      <c r="A52" s="483"/>
      <c r="B52" s="483"/>
      <c r="C52" s="483"/>
      <c r="D52" s="483"/>
      <c r="E52" s="483"/>
      <c r="F52" s="483"/>
      <c r="G52" s="483"/>
      <c r="H52" s="483"/>
      <c r="I52" s="483"/>
    </row>
    <row r="53" spans="1:9" ht="18" x14ac:dyDescent="0.25">
      <c r="A53" s="483"/>
      <c r="B53" s="483"/>
      <c r="C53" s="483"/>
      <c r="D53" s="483"/>
      <c r="E53" s="483"/>
      <c r="F53" s="483"/>
      <c r="G53" s="483"/>
      <c r="H53" s="483"/>
      <c r="I53" s="483"/>
    </row>
    <row r="54" spans="1:9" ht="18" x14ac:dyDescent="0.25">
      <c r="A54" s="483"/>
      <c r="B54" s="483"/>
      <c r="C54" s="483"/>
      <c r="D54" s="483"/>
      <c r="E54" s="483"/>
      <c r="F54" s="483"/>
      <c r="G54" s="483"/>
      <c r="H54" s="483"/>
      <c r="I54" s="483"/>
    </row>
    <row r="55" spans="1:9" ht="18" x14ac:dyDescent="0.25">
      <c r="A55" s="483"/>
      <c r="B55" s="483"/>
      <c r="C55" s="483"/>
      <c r="D55" s="483"/>
      <c r="E55" s="483"/>
      <c r="F55" s="483"/>
      <c r="G55" s="483"/>
      <c r="H55" s="483"/>
      <c r="I55" s="48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tabSelected="1" view="pageBreakPreview" zoomScale="60" zoomScaleNormal="100" workbookViewId="0">
      <selection activeCell="R21" sqref="R21"/>
    </sheetView>
  </sheetViews>
  <sheetFormatPr defaultRowHeight="15.75" x14ac:dyDescent="0.25"/>
  <cols>
    <col min="1" max="1" width="23.7109375" style="79" customWidth="1"/>
    <col min="2" max="2" width="10.7109375" style="623" customWidth="1"/>
    <col min="3" max="3" width="14.7109375" style="79" customWidth="1"/>
    <col min="4" max="4" width="12.140625" style="79" customWidth="1"/>
    <col min="5" max="5" width="13.28515625" style="79" customWidth="1"/>
    <col min="6" max="6" width="12.140625" style="79" customWidth="1"/>
    <col min="7" max="7" width="12.85546875" style="79" customWidth="1"/>
    <col min="8" max="8" width="10" style="79" customWidth="1"/>
    <col min="9" max="9" width="10.28515625" style="79" customWidth="1"/>
    <col min="10" max="16384" width="9.140625" style="79"/>
  </cols>
  <sheetData>
    <row r="2" spans="1:10" x14ac:dyDescent="0.25">
      <c r="A2" s="555"/>
      <c r="B2" s="556"/>
      <c r="C2" s="555"/>
      <c r="D2" s="555"/>
      <c r="E2" s="555"/>
      <c r="F2" s="555"/>
      <c r="G2" s="555"/>
      <c r="H2" s="557"/>
      <c r="I2" s="555"/>
    </row>
    <row r="3" spans="1:10" ht="30" customHeight="1" x14ac:dyDescent="0.25">
      <c r="B3" s="558" t="s">
        <v>465</v>
      </c>
      <c r="C3" s="558"/>
      <c r="D3" s="558"/>
      <c r="E3" s="558"/>
      <c r="F3" s="558"/>
      <c r="G3" s="558"/>
      <c r="H3" s="559"/>
      <c r="I3" s="559"/>
      <c r="J3" s="559"/>
    </row>
    <row r="4" spans="1:10" ht="15" customHeight="1" x14ac:dyDescent="0.25">
      <c r="A4" s="555"/>
      <c r="B4" s="556"/>
      <c r="C4" s="560"/>
      <c r="D4" s="560"/>
      <c r="E4" s="561"/>
      <c r="F4" s="561"/>
      <c r="G4" s="555"/>
      <c r="H4" s="555"/>
      <c r="I4" s="555"/>
    </row>
    <row r="6" spans="1:10" ht="15" customHeight="1" x14ac:dyDescent="0.25">
      <c r="A6" s="562"/>
      <c r="B6" s="563"/>
      <c r="C6" s="564" t="s">
        <v>466</v>
      </c>
      <c r="D6" s="565" t="s">
        <v>467</v>
      </c>
      <c r="E6" s="565" t="s">
        <v>468</v>
      </c>
      <c r="F6" s="565" t="s">
        <v>467</v>
      </c>
      <c r="G6" s="566" t="s">
        <v>469</v>
      </c>
      <c r="H6" s="567" t="s">
        <v>470</v>
      </c>
      <c r="I6" s="568" t="s">
        <v>471</v>
      </c>
    </row>
    <row r="7" spans="1:10" ht="110.25" customHeight="1" x14ac:dyDescent="0.25">
      <c r="A7" s="569"/>
      <c r="B7" s="570" t="s">
        <v>472</v>
      </c>
      <c r="C7" s="571"/>
      <c r="D7" s="572"/>
      <c r="E7" s="572"/>
      <c r="F7" s="572"/>
      <c r="G7" s="573"/>
      <c r="H7" s="574"/>
      <c r="I7" s="575"/>
    </row>
    <row r="8" spans="1:10" ht="34.5" customHeight="1" x14ac:dyDescent="0.25">
      <c r="A8" s="570"/>
      <c r="B8" s="570"/>
      <c r="C8" s="576" t="s">
        <v>473</v>
      </c>
      <c r="D8" s="577"/>
      <c r="E8" s="576" t="s">
        <v>474</v>
      </c>
      <c r="F8" s="577"/>
      <c r="G8" s="578"/>
      <c r="H8" s="579"/>
      <c r="I8" s="580">
        <f>H15%</f>
        <v>0.59213480027422494</v>
      </c>
    </row>
    <row r="9" spans="1:10" x14ac:dyDescent="0.25">
      <c r="A9" s="581" t="s">
        <v>475</v>
      </c>
      <c r="B9" s="582">
        <v>211</v>
      </c>
      <c r="C9" s="583">
        <f>D9*6</f>
        <v>10707.72</v>
      </c>
      <c r="D9" s="584">
        <v>1784.62</v>
      </c>
      <c r="E9" s="584">
        <f>F9*6</f>
        <v>29962.800000000003</v>
      </c>
      <c r="F9" s="584">
        <f>4857.67+136.13</f>
        <v>4993.8</v>
      </c>
      <c r="G9" s="585">
        <f t="shared" ref="G9:G14" si="0">C9+E9</f>
        <v>40670.520000000004</v>
      </c>
      <c r="H9" s="586"/>
      <c r="I9" s="587"/>
    </row>
    <row r="10" spans="1:10" x14ac:dyDescent="0.25">
      <c r="A10" s="581" t="s">
        <v>476</v>
      </c>
      <c r="B10" s="582">
        <v>213</v>
      </c>
      <c r="C10" s="583">
        <f>D10*6</f>
        <v>3233.7000000000003</v>
      </c>
      <c r="D10" s="584">
        <v>538.95000000000005</v>
      </c>
      <c r="E10" s="584">
        <f>F10*6</f>
        <v>9048.7799999999988</v>
      </c>
      <c r="F10" s="584">
        <f>1467.02+41.11</f>
        <v>1508.1299999999999</v>
      </c>
      <c r="G10" s="585">
        <f t="shared" si="0"/>
        <v>12282.48</v>
      </c>
      <c r="H10" s="586"/>
      <c r="I10" s="587"/>
    </row>
    <row r="11" spans="1:10" x14ac:dyDescent="0.25">
      <c r="A11" s="588" t="s">
        <v>477</v>
      </c>
      <c r="B11" s="589"/>
      <c r="C11" s="590">
        <f>C9+C10</f>
        <v>13941.42</v>
      </c>
      <c r="D11" s="590">
        <f>D9+D10</f>
        <v>2323.5699999999997</v>
      </c>
      <c r="E11" s="590">
        <f>SUM(E9:E10)</f>
        <v>39011.58</v>
      </c>
      <c r="F11" s="590">
        <f>SUM(F9:F10)</f>
        <v>6501.93</v>
      </c>
      <c r="G11" s="591">
        <f t="shared" si="0"/>
        <v>52953</v>
      </c>
      <c r="H11" s="592">
        <f>G11/G27*100</f>
        <v>25.081233489123413</v>
      </c>
      <c r="I11" s="587"/>
    </row>
    <row r="12" spans="1:10" x14ac:dyDescent="0.25">
      <c r="A12" s="581" t="s">
        <v>475</v>
      </c>
      <c r="B12" s="582">
        <v>226</v>
      </c>
      <c r="C12" s="583">
        <f>D12*6</f>
        <v>13836.78</v>
      </c>
      <c r="D12" s="584">
        <v>2306.13</v>
      </c>
      <c r="E12" s="584">
        <f>F12*6</f>
        <v>41510.399999999994</v>
      </c>
      <c r="F12" s="584">
        <v>6918.4</v>
      </c>
      <c r="G12" s="585">
        <f t="shared" si="0"/>
        <v>55347.179999999993</v>
      </c>
      <c r="H12" s="586"/>
      <c r="I12" s="587"/>
    </row>
    <row r="13" spans="1:10" x14ac:dyDescent="0.25">
      <c r="A13" s="581" t="s">
        <v>476</v>
      </c>
      <c r="B13" s="582">
        <v>226</v>
      </c>
      <c r="C13" s="583">
        <f>D13*6</f>
        <v>4178.7000000000007</v>
      </c>
      <c r="D13" s="584">
        <v>696.45</v>
      </c>
      <c r="E13" s="584">
        <f>F13*6</f>
        <v>12536.16</v>
      </c>
      <c r="F13" s="584">
        <v>2089.36</v>
      </c>
      <c r="G13" s="585">
        <f t="shared" si="0"/>
        <v>16714.86</v>
      </c>
      <c r="H13" s="586"/>
      <c r="I13" s="587"/>
    </row>
    <row r="14" spans="1:10" x14ac:dyDescent="0.25">
      <c r="A14" s="588" t="s">
        <v>477</v>
      </c>
      <c r="B14" s="593"/>
      <c r="C14" s="592">
        <f>C12+C13</f>
        <v>18015.480000000003</v>
      </c>
      <c r="D14" s="592">
        <f>D12+D13</f>
        <v>3002.58</v>
      </c>
      <c r="E14" s="594">
        <f>SUM(E12:E13)</f>
        <v>54046.559999999998</v>
      </c>
      <c r="F14" s="594">
        <f>SUM(F12:F13)</f>
        <v>9007.76</v>
      </c>
      <c r="G14" s="591">
        <f t="shared" si="0"/>
        <v>72062.040000000008</v>
      </c>
      <c r="H14" s="592">
        <f>G14/G27*100</f>
        <v>34.132246538299079</v>
      </c>
      <c r="I14" s="595"/>
    </row>
    <row r="15" spans="1:10" x14ac:dyDescent="0.25">
      <c r="A15" s="596" t="s">
        <v>478</v>
      </c>
      <c r="B15" s="591">
        <f t="shared" ref="B15:F15" si="1">B11+B14</f>
        <v>0</v>
      </c>
      <c r="C15" s="591">
        <f t="shared" si="1"/>
        <v>31956.9</v>
      </c>
      <c r="D15" s="591">
        <f t="shared" si="1"/>
        <v>5326.15</v>
      </c>
      <c r="E15" s="591">
        <f t="shared" si="1"/>
        <v>93058.14</v>
      </c>
      <c r="F15" s="591">
        <f t="shared" si="1"/>
        <v>15509.69</v>
      </c>
      <c r="G15" s="591">
        <f>G11+G14</f>
        <v>125015.04000000001</v>
      </c>
      <c r="H15" s="591">
        <f>G15/G27*100</f>
        <v>59.213480027422492</v>
      </c>
      <c r="I15" s="597"/>
    </row>
    <row r="16" spans="1:10" ht="31.5" x14ac:dyDescent="0.25">
      <c r="A16" s="598" t="s">
        <v>479</v>
      </c>
      <c r="B16" s="582" t="s">
        <v>480</v>
      </c>
      <c r="C16" s="582">
        <v>128.49</v>
      </c>
      <c r="D16" s="599">
        <f>C16/6</f>
        <v>21.415000000000003</v>
      </c>
      <c r="E16" s="599">
        <v>385.46</v>
      </c>
      <c r="F16" s="599">
        <f>E16/6</f>
        <v>64.243333333333325</v>
      </c>
      <c r="G16" s="585">
        <f>C16+E16</f>
        <v>513.95000000000005</v>
      </c>
      <c r="H16" s="586"/>
      <c r="I16" s="580">
        <f>H19%</f>
        <v>6.2883781522292993E-3</v>
      </c>
    </row>
    <row r="17" spans="1:9" ht="31.5" x14ac:dyDescent="0.25">
      <c r="A17" s="598" t="s">
        <v>481</v>
      </c>
      <c r="B17" s="582" t="s">
        <v>482</v>
      </c>
      <c r="C17" s="582">
        <v>157.25</v>
      </c>
      <c r="D17" s="599">
        <f t="shared" ref="D17:D18" si="2">C17/6</f>
        <v>26.208333333333332</v>
      </c>
      <c r="E17" s="599">
        <v>471.78</v>
      </c>
      <c r="F17" s="599">
        <f t="shared" ref="F17:F18" si="3">E17/6</f>
        <v>78.63</v>
      </c>
      <c r="G17" s="585">
        <f t="shared" ref="G17" si="4">C17+E17</f>
        <v>629.03</v>
      </c>
      <c r="H17" s="586"/>
      <c r="I17" s="587"/>
    </row>
    <row r="18" spans="1:9" ht="31.5" x14ac:dyDescent="0.25">
      <c r="A18" s="598" t="s">
        <v>483</v>
      </c>
      <c r="B18" s="582" t="s">
        <v>484</v>
      </c>
      <c r="C18" s="600">
        <v>92.33</v>
      </c>
      <c r="D18" s="599">
        <f t="shared" si="2"/>
        <v>15.388333333333334</v>
      </c>
      <c r="E18" s="599">
        <v>92.33</v>
      </c>
      <c r="F18" s="599">
        <f t="shared" si="3"/>
        <v>15.388333333333334</v>
      </c>
      <c r="G18" s="585">
        <f>C18+E18</f>
        <v>184.66</v>
      </c>
      <c r="H18" s="586"/>
      <c r="I18" s="587"/>
    </row>
    <row r="19" spans="1:9" ht="31.5" x14ac:dyDescent="0.25">
      <c r="A19" s="601" t="s">
        <v>485</v>
      </c>
      <c r="B19" s="602"/>
      <c r="C19" s="592">
        <v>378.07</v>
      </c>
      <c r="D19" s="591">
        <f>D16+D17+D18</f>
        <v>63.01166666666667</v>
      </c>
      <c r="E19" s="591">
        <v>949.57</v>
      </c>
      <c r="F19" s="591">
        <f>SUM(F16:F18)</f>
        <v>158.26166666666666</v>
      </c>
      <c r="G19" s="591">
        <f>C19+E19</f>
        <v>1327.64</v>
      </c>
      <c r="H19" s="592">
        <f>G19/G27*100</f>
        <v>0.62883781522292992</v>
      </c>
      <c r="I19" s="595"/>
    </row>
    <row r="20" spans="1:9" x14ac:dyDescent="0.25">
      <c r="A20" s="581"/>
      <c r="B20" s="582"/>
      <c r="C20" s="582"/>
      <c r="D20" s="603"/>
      <c r="E20" s="603"/>
      <c r="F20" s="603"/>
      <c r="G20" s="604"/>
      <c r="H20" s="582"/>
      <c r="I20" s="605"/>
    </row>
    <row r="21" spans="1:9" ht="31.5" x14ac:dyDescent="0.25">
      <c r="A21" s="606" t="s">
        <v>486</v>
      </c>
      <c r="B21" s="607">
        <v>225</v>
      </c>
      <c r="C21" s="600">
        <f>D21*6</f>
        <v>4379.22</v>
      </c>
      <c r="D21" s="599">
        <v>729.87</v>
      </c>
      <c r="E21" s="599">
        <f>F21*6</f>
        <v>35345.100000000006</v>
      </c>
      <c r="F21" s="599">
        <v>5890.85</v>
      </c>
      <c r="G21" s="585">
        <f>E21+C21</f>
        <v>39724.320000000007</v>
      </c>
      <c r="H21" s="586">
        <f>G21/G27*100</f>
        <v>18.815457955482316</v>
      </c>
      <c r="I21" s="608">
        <f>H26%</f>
        <v>0.40157682157354585</v>
      </c>
    </row>
    <row r="22" spans="1:9" x14ac:dyDescent="0.25">
      <c r="A22" s="606" t="s">
        <v>487</v>
      </c>
      <c r="B22" s="607">
        <v>226</v>
      </c>
      <c r="C22" s="600">
        <f t="shared" ref="C22" si="5">D22*6</f>
        <v>334.92</v>
      </c>
      <c r="D22" s="599">
        <v>55.82</v>
      </c>
      <c r="E22" s="599">
        <f t="shared" ref="E22:E25" si="6">F22*6</f>
        <v>334.92</v>
      </c>
      <c r="F22" s="599">
        <v>55.82</v>
      </c>
      <c r="G22" s="585">
        <f t="shared" ref="G22:G25" si="7">E22+C22</f>
        <v>669.84</v>
      </c>
      <c r="H22" s="586">
        <f>G22/G27*100</f>
        <v>0.31727028573177019</v>
      </c>
      <c r="I22" s="609"/>
    </row>
    <row r="23" spans="1:9" x14ac:dyDescent="0.25">
      <c r="A23" s="606" t="s">
        <v>488</v>
      </c>
      <c r="B23" s="607">
        <v>290</v>
      </c>
      <c r="C23" s="600"/>
      <c r="D23" s="599">
        <f>C23</f>
        <v>0</v>
      </c>
      <c r="E23" s="599">
        <f t="shared" si="6"/>
        <v>0</v>
      </c>
      <c r="F23" s="599"/>
      <c r="G23" s="585">
        <f t="shared" si="7"/>
        <v>0</v>
      </c>
      <c r="H23" s="586">
        <f>G23/G27*100</f>
        <v>0</v>
      </c>
      <c r="I23" s="609"/>
    </row>
    <row r="24" spans="1:9" ht="47.25" x14ac:dyDescent="0.25">
      <c r="A24" s="610" t="s">
        <v>489</v>
      </c>
      <c r="B24" s="611">
        <v>310</v>
      </c>
      <c r="C24" s="600"/>
      <c r="D24" s="599">
        <f>C24</f>
        <v>0</v>
      </c>
      <c r="E24" s="599">
        <f t="shared" si="6"/>
        <v>0</v>
      </c>
      <c r="F24" s="599"/>
      <c r="G24" s="585">
        <f t="shared" si="7"/>
        <v>0</v>
      </c>
      <c r="H24" s="586">
        <f>G24/G27*100</f>
        <v>0</v>
      </c>
      <c r="I24" s="609"/>
    </row>
    <row r="25" spans="1:9" ht="47.25" x14ac:dyDescent="0.25">
      <c r="A25" s="606" t="s">
        <v>490</v>
      </c>
      <c r="B25" s="607">
        <v>340</v>
      </c>
      <c r="C25" s="600">
        <f>D25*6</f>
        <v>16750.079999999998</v>
      </c>
      <c r="D25" s="599">
        <f>2790.83+0.85</f>
        <v>2791.68</v>
      </c>
      <c r="E25" s="599">
        <f t="shared" si="6"/>
        <v>27639.06</v>
      </c>
      <c r="F25" s="599">
        <v>4606.51</v>
      </c>
      <c r="G25" s="585">
        <f t="shared" si="7"/>
        <v>44389.14</v>
      </c>
      <c r="H25" s="586">
        <f>G25/G27*100</f>
        <v>21.024953916140497</v>
      </c>
      <c r="I25" s="575"/>
    </row>
    <row r="26" spans="1:9" x14ac:dyDescent="0.25">
      <c r="A26" s="612" t="s">
        <v>491</v>
      </c>
      <c r="B26" s="613"/>
      <c r="C26" s="591">
        <f>C21+C22+C23+C24+C25</f>
        <v>21464.219999999998</v>
      </c>
      <c r="D26" s="591">
        <f t="shared" ref="D26:E26" si="8">D21+D22+D23+D24+D25</f>
        <v>3577.37</v>
      </c>
      <c r="E26" s="591">
        <f t="shared" si="8"/>
        <v>63319.08</v>
      </c>
      <c r="F26" s="591">
        <f>F21+F22+F23+F24+F25</f>
        <v>10553.18</v>
      </c>
      <c r="G26" s="591">
        <f>G21+G22+G23+G24+G25</f>
        <v>84783.3</v>
      </c>
      <c r="H26" s="591">
        <f t="shared" ref="H26" si="9">H21+H22+H23+H24+H25</f>
        <v>40.157682157354586</v>
      </c>
      <c r="I26" s="614"/>
    </row>
    <row r="27" spans="1:9" s="213" customFormat="1" x14ac:dyDescent="0.25">
      <c r="A27" s="615" t="s">
        <v>492</v>
      </c>
      <c r="B27" s="616"/>
      <c r="C27" s="617">
        <f>C26+C19+C14+C11</f>
        <v>53799.19</v>
      </c>
      <c r="D27" s="617">
        <f t="shared" ref="D27:F27" si="10">D26+D19+D14+D11</f>
        <v>8966.5316666666658</v>
      </c>
      <c r="E27" s="617">
        <f t="shared" si="10"/>
        <v>157326.78999999998</v>
      </c>
      <c r="F27" s="617">
        <f t="shared" si="10"/>
        <v>26221.131666666668</v>
      </c>
      <c r="G27" s="617">
        <f>G26+G19+G14+G11</f>
        <v>211125.98</v>
      </c>
      <c r="H27" s="617">
        <f t="shared" ref="H27" si="11">H26+H19+H14+H11</f>
        <v>100</v>
      </c>
      <c r="I27" s="618">
        <f>I8+I16+I21</f>
        <v>1</v>
      </c>
    </row>
    <row r="28" spans="1:9" x14ac:dyDescent="0.25">
      <c r="A28" s="581"/>
      <c r="B28" s="582"/>
      <c r="C28" s="582"/>
      <c r="D28" s="603"/>
      <c r="E28" s="603"/>
      <c r="F28" s="603"/>
      <c r="G28" s="604"/>
      <c r="H28" s="582"/>
      <c r="I28" s="605"/>
    </row>
    <row r="29" spans="1:9" ht="31.5" x14ac:dyDescent="0.25">
      <c r="A29" s="598" t="s">
        <v>493</v>
      </c>
      <c r="B29" s="619"/>
      <c r="C29" s="582">
        <v>20</v>
      </c>
      <c r="D29" s="620">
        <v>20</v>
      </c>
      <c r="E29" s="620">
        <v>20</v>
      </c>
      <c r="F29" s="620">
        <v>20</v>
      </c>
      <c r="G29" s="604"/>
      <c r="H29" s="582"/>
      <c r="I29" s="605"/>
    </row>
    <row r="30" spans="1:9" ht="47.25" x14ac:dyDescent="0.25">
      <c r="A30" s="598" t="s">
        <v>494</v>
      </c>
      <c r="B30" s="619"/>
      <c r="C30" s="600">
        <f>C27/C29</f>
        <v>2689.9594999999999</v>
      </c>
      <c r="D30" s="600">
        <f>D27/D29</f>
        <v>448.3265833333333</v>
      </c>
      <c r="E30" s="600">
        <f t="shared" ref="E30:F30" si="12">E27/E29</f>
        <v>7866.3394999999991</v>
      </c>
      <c r="F30" s="600">
        <f t="shared" si="12"/>
        <v>1311.0565833333335</v>
      </c>
      <c r="G30" s="600"/>
      <c r="H30" s="582"/>
      <c r="I30" s="605"/>
    </row>
    <row r="31" spans="1:9" x14ac:dyDescent="0.25">
      <c r="A31" s="621"/>
      <c r="B31" s="622"/>
      <c r="C31" s="621"/>
      <c r="D31" s="621"/>
      <c r="E31" s="621"/>
      <c r="F31" s="621"/>
      <c r="G31" s="621"/>
      <c r="H31" s="621"/>
      <c r="I31" s="555"/>
    </row>
    <row r="32" spans="1:9" x14ac:dyDescent="0.25">
      <c r="A32" s="497" t="s">
        <v>495</v>
      </c>
      <c r="B32" s="498"/>
      <c r="C32" s="497"/>
      <c r="D32" s="497"/>
      <c r="E32" s="497"/>
      <c r="F32" s="497"/>
      <c r="G32" s="497"/>
      <c r="H32" s="497" t="s">
        <v>265</v>
      </c>
      <c r="I32" s="555"/>
    </row>
    <row r="34" spans="1:9" x14ac:dyDescent="0.25">
      <c r="A34" s="497" t="s">
        <v>496</v>
      </c>
      <c r="B34" s="498"/>
      <c r="C34" s="555"/>
      <c r="D34" s="555"/>
      <c r="E34" s="555"/>
      <c r="F34" s="555"/>
      <c r="G34" s="555"/>
      <c r="H34" s="497"/>
      <c r="I34" s="555"/>
    </row>
    <row r="35" spans="1:9" x14ac:dyDescent="0.25">
      <c r="A35" s="79" t="s">
        <v>267</v>
      </c>
    </row>
    <row r="36" spans="1:9" x14ac:dyDescent="0.25">
      <c r="A36" s="79" t="s">
        <v>268</v>
      </c>
    </row>
  </sheetData>
  <mergeCells count="13">
    <mergeCell ref="H6:H7"/>
    <mergeCell ref="I6:I7"/>
    <mergeCell ref="I8:I14"/>
    <mergeCell ref="I16:I19"/>
    <mergeCell ref="I21:I25"/>
    <mergeCell ref="B3:G3"/>
    <mergeCell ref="C4:D4"/>
    <mergeCell ref="A6:A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ДОШКОЛЬНИКИ</vt:lpstr>
      <vt:lpstr>СПЕЦ.КУРСЫ</vt:lpstr>
      <vt:lpstr>кальк.- дош.</vt:lpstr>
      <vt:lpstr>кальк-спец.кур.</vt:lpstr>
      <vt:lpstr>нормы расхода материал.</vt:lpstr>
      <vt:lpstr>СВОД  к прил.9</vt:lpstr>
      <vt:lpstr>ДОШКОЛЬНИКИ!Область_печати</vt:lpstr>
      <vt:lpstr>'кальк.- дош.'!Область_печати</vt:lpstr>
      <vt:lpstr>СПЕЦ.КУРСЫ!Область_печати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2015-09-25T06:04:03Z</dcterms:modified>
</cp:coreProperties>
</file>